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39" firstSheet="16" activeTab="19"/>
  </bookViews>
  <sheets>
    <sheet name="Кирова 19а" sheetId="52" r:id="rId1"/>
    <sheet name="Строительная 28а" sheetId="54" r:id="rId2"/>
    <sheet name="М.Горького 3б" sheetId="37" r:id="rId3"/>
    <sheet name="М.Горького 4а" sheetId="35" r:id="rId4"/>
    <sheet name="Лесная 3а" sheetId="33" r:id="rId5"/>
    <sheet name="Лесная 2а" sheetId="38" r:id="rId6"/>
    <sheet name="Пионерская 24а" sheetId="32" r:id="rId7"/>
    <sheet name="Пионерская 20" sheetId="50" r:id="rId8"/>
    <sheet name="Пионерская 18" sheetId="47" r:id="rId9"/>
    <sheet name="Пионерская 16" sheetId="51" r:id="rId10"/>
    <sheet name="Пионерская 14" sheetId="34" r:id="rId11"/>
    <sheet name="Пионерская 6" sheetId="43" r:id="rId12"/>
    <sheet name="Пионерская 4 " sheetId="53" r:id="rId13"/>
    <sheet name="Пионерская 2а" sheetId="42" r:id="rId14"/>
    <sheet name="Гагарина 5а" sheetId="30" r:id="rId15"/>
    <sheet name="Гагарина 3" sheetId="57" r:id="rId16"/>
    <sheet name="Гагарина 2а" sheetId="44" r:id="rId17"/>
    <sheet name="Гагарина 1" sheetId="41" r:id="rId18"/>
    <sheet name="вокзальная 17а" sheetId="46" r:id="rId19"/>
    <sheet name="вокзальная 11а" sheetId="23" r:id="rId20"/>
    <sheet name="вокзальная 9б" sheetId="58" r:id="rId21"/>
    <sheet name="вокзальная 9а" sheetId="28" r:id="rId22"/>
    <sheet name="Пушкина 30а" sheetId="39" r:id="rId23"/>
    <sheet name="Пушкина 11а" sheetId="31" r:id="rId24"/>
    <sheet name="Пушкина 7а" sheetId="24" r:id="rId25"/>
    <sheet name="Пушкина 6а" sheetId="25" r:id="rId26"/>
    <sheet name="Пушкина 5а" sheetId="27" r:id="rId27"/>
    <sheet name="Пушкина 4а" sheetId="22" r:id="rId28"/>
    <sheet name="Пушкина 3а" sheetId="29" r:id="rId29"/>
    <sheet name="Пушкина 2а" sheetId="26" r:id="rId30"/>
    <sheet name="сводный отчет" sheetId="55" r:id="rId31"/>
  </sheets>
  <calcPr calcId="125725"/>
</workbook>
</file>

<file path=xl/calcChain.xml><?xml version="1.0" encoding="utf-8"?>
<calcChain xmlns="http://schemas.openxmlformats.org/spreadsheetml/2006/main">
  <c r="C23" i="41"/>
  <c r="C18"/>
  <c r="C17"/>
  <c r="C16"/>
  <c r="C15"/>
  <c r="C14"/>
  <c r="C8"/>
  <c r="C10" s="1"/>
  <c r="D7" i="55" s="1"/>
  <c r="C20" i="41"/>
  <c r="B19" i="44"/>
  <c r="B16"/>
  <c r="B15"/>
  <c r="B14"/>
  <c r="B13"/>
  <c r="B9"/>
  <c r="D8" i="55" s="1"/>
  <c r="B7" i="44"/>
  <c r="C12" i="41" l="1"/>
  <c r="B18" i="44"/>
  <c r="B11" s="1"/>
  <c r="B24" i="22"/>
  <c r="C16" i="52"/>
  <c r="C12"/>
  <c r="B20" i="26"/>
  <c r="B15"/>
  <c r="B14"/>
  <c r="B21"/>
  <c r="B19" i="31"/>
  <c r="B14"/>
  <c r="B15"/>
  <c r="B21"/>
  <c r="B22"/>
  <c r="B17"/>
  <c r="B16"/>
  <c r="B18" i="24"/>
  <c r="B28" i="41" l="1"/>
  <c r="B29" s="1"/>
  <c r="E7" i="55"/>
  <c r="F7" s="1"/>
  <c r="B21" i="44"/>
  <c r="E8" i="55"/>
  <c r="F8" s="1"/>
  <c r="C24" i="41"/>
  <c r="B12" i="31"/>
  <c r="E29" i="55" s="1"/>
  <c r="B18" i="25"/>
  <c r="B21" i="27" l="1"/>
  <c r="B16"/>
  <c r="B22"/>
  <c r="B17"/>
  <c r="B14"/>
  <c r="B15"/>
  <c r="B20" i="54"/>
  <c r="C21" i="32"/>
  <c r="C20"/>
  <c r="B22" i="47" l="1"/>
  <c r="B15"/>
  <c r="B18" i="51"/>
  <c r="B19"/>
  <c r="B17"/>
  <c r="B16"/>
  <c r="B23" i="47"/>
  <c r="B14"/>
  <c r="B18" i="34"/>
  <c r="B14"/>
  <c r="B15" i="42" l="1"/>
  <c r="B23"/>
  <c r="B18"/>
  <c r="B19" i="53"/>
  <c r="B23" i="28"/>
  <c r="B21" i="58"/>
  <c r="B19"/>
  <c r="B10" i="28"/>
  <c r="D4" i="55" s="1"/>
  <c r="B22" i="29"/>
  <c r="B20"/>
  <c r="B18"/>
  <c r="B15"/>
  <c r="B14"/>
  <c r="B14" i="22" l="1"/>
  <c r="B20" i="30"/>
  <c r="B18"/>
  <c r="B17"/>
  <c r="B16"/>
  <c r="B15"/>
  <c r="B23"/>
  <c r="B18" i="37"/>
  <c r="B17"/>
  <c r="B18" i="57"/>
  <c r="B17"/>
  <c r="B15"/>
  <c r="B22" i="30"/>
  <c r="B14"/>
  <c r="B24" i="38"/>
  <c r="B22"/>
  <c r="B21"/>
  <c r="B18"/>
  <c r="B17"/>
  <c r="B16"/>
  <c r="B15"/>
  <c r="B14"/>
  <c r="B7"/>
  <c r="B8" s="1"/>
  <c r="B18" i="33"/>
  <c r="B24"/>
  <c r="B23"/>
  <c r="B22"/>
  <c r="B19"/>
  <c r="B17"/>
  <c r="B16"/>
  <c r="B15"/>
  <c r="B8"/>
  <c r="B9" s="1"/>
  <c r="B17" i="34"/>
  <c r="B8"/>
  <c r="B8" i="51"/>
  <c r="B14"/>
  <c r="B15"/>
  <c r="B17" i="47"/>
  <c r="B8"/>
  <c r="B24" i="50"/>
  <c r="B19"/>
  <c r="B17"/>
  <c r="B16"/>
  <c r="C19" i="32"/>
  <c r="C17"/>
  <c r="C16"/>
  <c r="C10"/>
  <c r="B17" i="42"/>
  <c r="B14"/>
  <c r="B8"/>
  <c r="B18" i="53"/>
  <c r="B17"/>
  <c r="B16"/>
  <c r="B10"/>
  <c r="C14" i="43"/>
  <c r="C19"/>
  <c r="C18"/>
  <c r="C17"/>
  <c r="C16"/>
  <c r="C15"/>
  <c r="C8"/>
  <c r="B17" i="26"/>
  <c r="B16"/>
  <c r="B7"/>
  <c r="B10" s="1"/>
  <c r="D23" i="55" s="1"/>
  <c r="B16" i="39"/>
  <c r="B15"/>
  <c r="B14"/>
  <c r="B16" i="29"/>
  <c r="B18" i="22"/>
  <c r="B17"/>
  <c r="B16"/>
  <c r="B15"/>
  <c r="B7"/>
  <c r="B8" s="1"/>
  <c r="B7" i="27"/>
  <c r="B19" i="25"/>
  <c r="B17"/>
  <c r="B15"/>
  <c r="B7"/>
  <c r="B9" s="1"/>
  <c r="B19" i="24"/>
  <c r="B17"/>
  <c r="B15"/>
  <c r="B7"/>
  <c r="B17" i="54"/>
  <c r="B21"/>
  <c r="B19"/>
  <c r="B18"/>
  <c r="B16"/>
  <c r="C26" i="46"/>
  <c r="C21"/>
  <c r="C20"/>
  <c r="C18"/>
  <c r="C17"/>
  <c r="C16"/>
  <c r="B17" i="28"/>
  <c r="B16"/>
  <c r="B15"/>
  <c r="B14"/>
  <c r="B18" i="58"/>
  <c r="B25"/>
  <c r="B17"/>
  <c r="B16"/>
  <c r="B15"/>
  <c r="B22" i="23" l="1"/>
  <c r="B21"/>
  <c r="B17"/>
  <c r="B14"/>
  <c r="B23"/>
  <c r="B16"/>
  <c r="B15"/>
  <c r="B7" l="1"/>
  <c r="B15" i="35"/>
  <c r="B23"/>
  <c r="C6" i="52" l="1"/>
  <c r="C17"/>
  <c r="C14"/>
  <c r="B16" i="37"/>
  <c r="B15"/>
  <c r="B19"/>
  <c r="B22"/>
  <c r="B23"/>
  <c r="B14"/>
  <c r="B9"/>
  <c r="B21" i="22"/>
  <c r="B21" i="33" l="1"/>
  <c r="B13" l="1"/>
  <c r="E14" i="55" s="1"/>
  <c r="B11" i="58" l="1"/>
  <c r="B13" l="1"/>
  <c r="B26" s="1"/>
  <c r="C18" i="32"/>
  <c r="C24"/>
  <c r="B10" i="37"/>
  <c r="D10" i="55" s="1"/>
  <c r="B16" i="57"/>
  <c r="B8"/>
  <c r="B11" s="1"/>
  <c r="B20"/>
  <c r="B16" i="25"/>
  <c r="B16" i="24"/>
  <c r="B13" i="57" l="1"/>
  <c r="B23" s="1"/>
  <c r="B17" i="39"/>
  <c r="B8"/>
  <c r="B10" s="1"/>
  <c r="D30" i="55" s="1"/>
  <c r="B11" i="24"/>
  <c r="D28" i="55" s="1"/>
  <c r="B18" i="27"/>
  <c r="B10"/>
  <c r="D26" i="55" s="1"/>
  <c r="B8" i="29"/>
  <c r="B10" s="1"/>
  <c r="D24" i="55" s="1"/>
  <c r="B10" i="22"/>
  <c r="D25" i="55" s="1"/>
  <c r="B8" i="26"/>
  <c r="B21" i="50"/>
  <c r="B20"/>
  <c r="B18"/>
  <c r="B19" i="47"/>
  <c r="B18"/>
  <c r="B16"/>
  <c r="B19" i="34"/>
  <c r="B16"/>
  <c r="B20" i="53"/>
  <c r="B12"/>
  <c r="D15" i="55" s="1"/>
  <c r="B19" i="42"/>
  <c r="B16"/>
  <c r="B10"/>
  <c r="D22" i="55" s="1"/>
  <c r="C10" i="43"/>
  <c r="D16" i="55" s="1"/>
  <c r="B10" i="34"/>
  <c r="D17" i="55" s="1"/>
  <c r="B10" i="51"/>
  <c r="D18" i="55" s="1"/>
  <c r="B10" i="47"/>
  <c r="D19" i="55" s="1"/>
  <c r="B10" i="50"/>
  <c r="B12" s="1"/>
  <c r="D20" i="55" s="1"/>
  <c r="C12" i="32"/>
  <c r="D21" i="55" s="1"/>
  <c r="B19" i="23"/>
  <c r="B12" s="1"/>
  <c r="E5" i="55" s="1"/>
  <c r="B10" i="23"/>
  <c r="D5" i="55" s="1"/>
  <c r="C19" i="46"/>
  <c r="B8" i="30"/>
  <c r="B11" i="35"/>
  <c r="D11" i="55" s="1"/>
  <c r="B12" i="54"/>
  <c r="D31" i="55" s="1"/>
  <c r="C25" i="54"/>
  <c r="C21"/>
  <c r="C20"/>
  <c r="C19"/>
  <c r="C18"/>
  <c r="C16"/>
  <c r="C13" i="52"/>
  <c r="C10" s="1"/>
  <c r="E12" i="55" s="1"/>
  <c r="F5" l="1"/>
  <c r="B21" i="51"/>
  <c r="B12" s="1"/>
  <c r="B10" i="38"/>
  <c r="D13" i="55" s="1"/>
  <c r="B8" i="31"/>
  <c r="B10" s="1"/>
  <c r="D29" i="55" s="1"/>
  <c r="F29" s="1"/>
  <c r="B11" i="25"/>
  <c r="D27" i="55" s="1"/>
  <c r="B11" i="33"/>
  <c r="D14" i="55" s="1"/>
  <c r="F14" s="1"/>
  <c r="B10" i="30"/>
  <c r="D9" i="55" s="1"/>
  <c r="C12" i="46"/>
  <c r="D6" i="55" s="1"/>
  <c r="B25" i="23"/>
  <c r="C8" i="52"/>
  <c r="C18" l="1"/>
  <c r="D12" i="55"/>
  <c r="B24" i="51"/>
  <c r="E18" i="55"/>
  <c r="F18" s="1"/>
  <c r="C23" i="46"/>
  <c r="C14" s="1"/>
  <c r="E6" i="55" s="1"/>
  <c r="F6" s="1"/>
  <c r="F12" l="1"/>
  <c r="D32"/>
  <c r="C28" i="46"/>
  <c r="C21" i="43" l="1"/>
  <c r="C12" s="1"/>
  <c r="C23" l="1"/>
  <c r="E16" i="55"/>
  <c r="F16" s="1"/>
  <c r="B19" i="26"/>
  <c r="B12" s="1"/>
  <c r="E23" i="55" s="1"/>
  <c r="F23" s="1"/>
  <c r="B23" i="26" l="1"/>
  <c r="B12" i="29" l="1"/>
  <c r="B23" l="1"/>
  <c r="E24" i="55"/>
  <c r="F24" s="1"/>
  <c r="B20" i="27"/>
  <c r="B12" s="1"/>
  <c r="B23" l="1"/>
  <c r="E26" i="55"/>
  <c r="F26" s="1"/>
  <c r="B21" i="24"/>
  <c r="B13" s="1"/>
  <c r="B24" l="1"/>
  <c r="E28" i="55"/>
  <c r="F28" s="1"/>
  <c r="B23" i="31"/>
  <c r="B19" i="39"/>
  <c r="B20" i="28"/>
  <c r="B12" s="1"/>
  <c r="B25" l="1"/>
  <c r="E4" i="55"/>
  <c r="B12" i="39"/>
  <c r="F4" i="55" l="1"/>
  <c r="B22" i="39"/>
  <c r="E30" i="55"/>
  <c r="F30" s="1"/>
  <c r="B12" i="30"/>
  <c r="B24" l="1"/>
  <c r="E9" i="55"/>
  <c r="B21" i="42"/>
  <c r="F9" i="55" l="1"/>
  <c r="B12" i="42"/>
  <c r="E22" i="55" s="1"/>
  <c r="F22" s="1"/>
  <c r="B24" i="42" l="1"/>
  <c r="B22" i="53"/>
  <c r="B14" s="1"/>
  <c r="B24" l="1"/>
  <c r="E15" i="55"/>
  <c r="F15" s="1"/>
  <c r="B21" i="34"/>
  <c r="B12" s="1"/>
  <c r="E17" i="55" s="1"/>
  <c r="F17" s="1"/>
  <c r="B24" i="34" l="1"/>
  <c r="B21" i="47" l="1"/>
  <c r="B12" s="1"/>
  <c r="E19" i="55" s="1"/>
  <c r="F19" s="1"/>
  <c r="B23" i="50"/>
  <c r="C23" i="32"/>
  <c r="C14" s="1"/>
  <c r="E21" i="55" s="1"/>
  <c r="F21" s="1"/>
  <c r="B14" i="50" l="1"/>
  <c r="C26" i="32"/>
  <c r="B24" i="47"/>
  <c r="B20" i="38"/>
  <c r="B12" s="1"/>
  <c r="B26" i="50" l="1"/>
  <c r="E20" i="55"/>
  <c r="F20" s="1"/>
  <c r="B26" i="38"/>
  <c r="E13" i="55"/>
  <c r="F13" s="1"/>
  <c r="B21" i="35"/>
  <c r="B13" l="1"/>
  <c r="B26" i="33"/>
  <c r="B24" i="35" l="1"/>
  <c r="E11" i="55"/>
  <c r="F11" s="1"/>
  <c r="B21" i="37"/>
  <c r="B23" i="54"/>
  <c r="B14" s="1"/>
  <c r="B27" l="1"/>
  <c r="E31" i="55"/>
  <c r="F31" s="1"/>
  <c r="B12" i="37"/>
  <c r="C23" i="54"/>
  <c r="C5" s="1"/>
  <c r="B25" i="37" l="1"/>
  <c r="E10" i="55"/>
  <c r="B21" i="25"/>
  <c r="B13" s="1"/>
  <c r="F10" i="55" l="1"/>
  <c r="B24" i="25"/>
  <c r="E27" i="55"/>
  <c r="F27" s="1"/>
  <c r="B20" i="22"/>
  <c r="B12" s="1"/>
  <c r="B25" l="1"/>
  <c r="E25" i="55"/>
  <c r="F25" l="1"/>
  <c r="F32" s="1"/>
  <c r="E32"/>
</calcChain>
</file>

<file path=xl/sharedStrings.xml><?xml version="1.0" encoding="utf-8"?>
<sst xmlns="http://schemas.openxmlformats.org/spreadsheetml/2006/main" count="805" uniqueCount="196">
  <si>
    <t>СВОДНЫЙ АКТ ПРИЕМКИ</t>
  </si>
  <si>
    <t>накладные расходы</t>
  </si>
  <si>
    <t>аварийно-диспетчерское обслуживание</t>
  </si>
  <si>
    <t>вывоз ТБО и КГМ</t>
  </si>
  <si>
    <t>Площадь многоквартирного пятиэтажного жилого дома, кв.м</t>
  </si>
  <si>
    <t>Размер платы за текущее содержание  руб/ 1 м2  в месяц</t>
  </si>
  <si>
    <t>Начислено платежей за электроэнергию МОП</t>
  </si>
  <si>
    <t>в том числе:</t>
  </si>
  <si>
    <t>автотранспорт</t>
  </si>
  <si>
    <t>ФОТ и налоги на з/плату дворников и уборщиков</t>
  </si>
  <si>
    <t>отработано основными рабочими на доме, час</t>
  </si>
  <si>
    <t>ФОТ и налоги на з/плату</t>
  </si>
  <si>
    <t>Директор ООО "МУК"                                                Галузина Т.В.</t>
  </si>
  <si>
    <t>ФОТ и налоги на з/плату дворников (уборка контейнерных площадок)</t>
  </si>
  <si>
    <t>Площадь многоквартирного  жилого дома, кв.м</t>
  </si>
  <si>
    <t xml:space="preserve">Собрано денежных средств от населения </t>
  </si>
  <si>
    <t>услуги автовышки</t>
  </si>
  <si>
    <t>содержание паспортиста</t>
  </si>
  <si>
    <t>№ дома</t>
  </si>
  <si>
    <t>9а</t>
  </si>
  <si>
    <t>11а</t>
  </si>
  <si>
    <t>17а</t>
  </si>
  <si>
    <t>Гагарина</t>
  </si>
  <si>
    <t>2а</t>
  </si>
  <si>
    <t>3а</t>
  </si>
  <si>
    <t>5а</t>
  </si>
  <si>
    <t>Горького</t>
  </si>
  <si>
    <t>3б</t>
  </si>
  <si>
    <t>4а</t>
  </si>
  <si>
    <t>24а</t>
  </si>
  <si>
    <t>Пушкина</t>
  </si>
  <si>
    <t>6а</t>
  </si>
  <si>
    <t>7а</t>
  </si>
  <si>
    <t>30а</t>
  </si>
  <si>
    <t xml:space="preserve">Строительная </t>
  </si>
  <si>
    <t>28а</t>
  </si>
  <si>
    <t>ИТОГО</t>
  </si>
  <si>
    <t>19а</t>
  </si>
  <si>
    <t xml:space="preserve">Начислено платежей за текущее содержание </t>
  </si>
  <si>
    <t>Оплата за элэнергию МОП</t>
  </si>
  <si>
    <t>Дефицит   денежных средств по жилому дому № 3б по ул.М.Горького</t>
  </si>
  <si>
    <t>факт.затраты руб/м2/мес</t>
  </si>
  <si>
    <t xml:space="preserve">Доходов по управлению и текущему содержанию жилого дома </t>
  </si>
  <si>
    <t>соцнайм</t>
  </si>
  <si>
    <t>Начислено за  тсж</t>
  </si>
  <si>
    <t>вывоз ЖБО</t>
  </si>
  <si>
    <t>ФОТ и налоги на з/плату дворника</t>
  </si>
  <si>
    <t xml:space="preserve">выполненных работ по управлению и обслуживанию ООО "МУК"  </t>
  </si>
  <si>
    <t>Оплата за соцнайм</t>
  </si>
  <si>
    <t xml:space="preserve">Доходов по управлению и текущему содержанию жилого дома  </t>
  </si>
  <si>
    <t xml:space="preserve">Затраты по управлению и текущему содержанию </t>
  </si>
  <si>
    <t>Задолженность населения на 01.01.2014</t>
  </si>
  <si>
    <t>Начислено платежей за электроэнергию МОП и соцнайм</t>
  </si>
  <si>
    <t>оплачено за э/ ОДН и соцнайм</t>
  </si>
  <si>
    <t>Дефицит денежных средств по жилому дому</t>
  </si>
  <si>
    <t>Начислено платежей за электроэнергию ОДН и соцнайм</t>
  </si>
  <si>
    <t>задолженность населения  на 01.01.2014 г</t>
  </si>
  <si>
    <t xml:space="preserve">Собрано денежных средств </t>
  </si>
  <si>
    <t>Оплата за электроэнергию ОДН и соцнайм</t>
  </si>
  <si>
    <t>Дефицит денежных средств по жилому дому на 01.01.2014г</t>
  </si>
  <si>
    <t xml:space="preserve">Начислено платежей за электроэнергию ОДН </t>
  </si>
  <si>
    <t xml:space="preserve">Дефицит  денежных средств по жилому дому </t>
  </si>
  <si>
    <t>Площадь многоквартирного жилого дома, кв.м</t>
  </si>
  <si>
    <t xml:space="preserve">ФОТ и налоги на з/плату дворников </t>
  </si>
  <si>
    <t>Экономия  денежных средств по жилому дому на 01.01.2014г</t>
  </si>
  <si>
    <t>Доходов по управлению и текущему содержанию жилого дома</t>
  </si>
  <si>
    <t>уборка снега от дома</t>
  </si>
  <si>
    <t>Начислено платежей за текущее содержание  и содержание общежитий</t>
  </si>
  <si>
    <t>ФОТ и налоги на з/плату дворников и уборщиков, вахтеров</t>
  </si>
  <si>
    <t>Дефицит  денежных средств по жилому дому на 01.01.2014г</t>
  </si>
  <si>
    <t>№ п/п</t>
  </si>
  <si>
    <t>Название улицы</t>
  </si>
  <si>
    <t xml:space="preserve">Вокзальная </t>
  </si>
  <si>
    <t xml:space="preserve">Кирова </t>
  </si>
  <si>
    <t>Лесная</t>
  </si>
  <si>
    <t>Пионерская</t>
  </si>
  <si>
    <t xml:space="preserve">Отчет ООО " МУК" по управлению и текущему содержанию МКД по адресу р.п.Мошково,  ул.Горького 4А за  2014 год </t>
  </si>
  <si>
    <t>Задолженность на 01.01.2014 года</t>
  </si>
  <si>
    <t>Начислено платежей за текущее содержание за 2014 год</t>
  </si>
  <si>
    <t>Дефицит денежных средств по жилому дому на 01.01.14г.</t>
  </si>
  <si>
    <t>Затраты по  текущему содержаниюза 2014 год</t>
  </si>
  <si>
    <t>Начислено платежей за  соцнайм</t>
  </si>
  <si>
    <t>Оплата за  соцнайм</t>
  </si>
  <si>
    <t>израсходовано материалов в 2014 году</t>
  </si>
  <si>
    <t>ФОТ и налоги на з/плату дворников (уборка контейн.площадок)</t>
  </si>
  <si>
    <t>Площадь многоквартирного трехэтажного жилого дома, кв.м</t>
  </si>
  <si>
    <t>Начислено платежей за соцнайм</t>
  </si>
  <si>
    <t>Задолженность за текущее обслуживание на 01.01.2014 года</t>
  </si>
  <si>
    <t>начислено платежей за соцнайм</t>
  </si>
  <si>
    <t>Затраты по управлению и текущемц содержанию за 2014 год</t>
  </si>
  <si>
    <t>Дефицит денежных средств на 01.01.2014г</t>
  </si>
  <si>
    <t>обслуживание приборов учета</t>
  </si>
  <si>
    <t>Откачка ЖБО в апреле</t>
  </si>
  <si>
    <t>Обслуживание приборов учета</t>
  </si>
  <si>
    <t>Доходов по управлению и текущему содержанию жилого дома за 2014 год</t>
  </si>
  <si>
    <t>Затраты по управлению и текущему содержаниюза 2014 год</t>
  </si>
  <si>
    <t>обслуживание общедомовых  приборов учета</t>
  </si>
  <si>
    <t xml:space="preserve">Отчет ООО " МУК" по управлению и текущему содержанию МКД по адресу р.п.Мошково,                                      ул.Горького 3Б за  2014 год </t>
  </si>
  <si>
    <t>Доходов по управлению и текущему содержанию жилого дома № 3б по ул.М.Горького за  2014</t>
  </si>
  <si>
    <t>Затраты по управлению и текущему содержанию за 2014 год</t>
  </si>
  <si>
    <t>Общая задолженность населения на 01.01.2015</t>
  </si>
  <si>
    <t xml:space="preserve">Отчет ООО " МУК" по управлению и текущему содержанию МКД по адресу р.п.Мошково,  ул.Кирова 19а за  2014 год </t>
  </si>
  <si>
    <t xml:space="preserve">Доходов по управлению и текущему содержанию жилого дома № 19а по ул.Кирова </t>
  </si>
  <si>
    <t>Экономия    денежных средств по жилому дому на 01.01.2015г</t>
  </si>
  <si>
    <t>Доходов по управлению и текущему содержанию жилого дома № 4а по ул.М.Горького за  2014</t>
  </si>
  <si>
    <t>Финансовый результат  за 2014 год по жилому дому № 4а по ул.М.Горького</t>
  </si>
  <si>
    <t>Задолженность населения  на 01.01.2014 года</t>
  </si>
  <si>
    <t>Отчет ООО " МУК" по управлению и текущему содержанию МКД по адресу р.п.Мошково, ул.Вокзальная 11а за  2014 год</t>
  </si>
  <si>
    <t>Задолженность населения на 01.01.2014 года</t>
  </si>
  <si>
    <t>Задолженность населения  на 01.01.2015г</t>
  </si>
  <si>
    <t>Начислено  э/э ОДН, соцнайм</t>
  </si>
  <si>
    <t>оплата за электроэнергию на ОДН и соцнайм</t>
  </si>
  <si>
    <t xml:space="preserve">накладные расходы </t>
  </si>
  <si>
    <t>экономия на 01.01.2015</t>
  </si>
  <si>
    <t>экономия денежных средств  на 01.01.2014</t>
  </si>
  <si>
    <t>начислено за соц.найм</t>
  </si>
  <si>
    <t>оплата соцнайма</t>
  </si>
  <si>
    <t>перерасход   денежных средств по жилому дому на 01.01.2015г</t>
  </si>
  <si>
    <t xml:space="preserve">Отчет ООО " МУК" по управлению и текущему содержанию МКД по адресу р.п.Мошково, ул.Вокзальная 9б за 2014 годгода </t>
  </si>
  <si>
    <t>Отчет ООО " МУК" по управлению и текущему содержанию МКД по адресу р.п.Мошково, ул.Вокзальная 9а за 2014 год</t>
  </si>
  <si>
    <t>начислен соцнайм</t>
  </si>
  <si>
    <t>Финансовый результат за 2014 год</t>
  </si>
  <si>
    <t>Оплата соцнайм</t>
  </si>
  <si>
    <t xml:space="preserve">Отчет ООО " МУК" по управлению и текущему содержанию МКД по адресу р.п.Мошково,   ул.Вокзальная 17а  за  2014 год </t>
  </si>
  <si>
    <t>финансовый результат за 2014 год</t>
  </si>
  <si>
    <t>Отчет ООО " МУК" по текущему содержанию мест общего пользования МКД по адресу р.п.Мошково, ул. Строительная 28а за  2014  года</t>
  </si>
  <si>
    <t>установка приборов учета</t>
  </si>
  <si>
    <t>Затраты по управлению и текущему содержанию за   2014 год</t>
  </si>
  <si>
    <t>израсходовано материалов в за  2014</t>
  </si>
  <si>
    <t>Отчет ООО " МУК" по управлению и текущему содержанию МКД  № 7 а по адресу ул.Пушкина  за 2014 год</t>
  </si>
  <si>
    <t>Собрано средств за 2014 год</t>
  </si>
  <si>
    <t>Задолженность населения на 01.01.2015</t>
  </si>
  <si>
    <t>оплачено за  соцнайм</t>
  </si>
  <si>
    <t>Финансовый результат по дому за 2014 год</t>
  </si>
  <si>
    <t>Отчет ООО " МУК" по управлению и текущему содержанию МКД  № 6 а по адресу ул.Пушкина за 2014 год</t>
  </si>
  <si>
    <t>Отчет ООО " МУК" по управлению и текущему содержанию МКД  № 5 а по адресу ул.Пушкина за 2014 год</t>
  </si>
  <si>
    <t>Отчет ООО " МУК" по управлению и текущему содержанию МКД  № 3 а по адресу ул.Пушкина  за 2014 год</t>
  </si>
  <si>
    <t>Доходов по  текущему содержанию жилого дома</t>
  </si>
  <si>
    <t>Отчет ООО " МУК" по управлению и текущему содержанию МКД  № 30 а по адресу ул.Пушкина за 2014 год</t>
  </si>
  <si>
    <t>Отчет ООО " МУК" по управлению и текущему содержанию МКД  № 2 а по адресу ул.Пушкина за 2014 год</t>
  </si>
  <si>
    <t>Отчет ООО " МУК" по управлению и текущему содержанию МКД  № 11 а по адресу ул.Пушкина за 2014 год</t>
  </si>
  <si>
    <t xml:space="preserve">Отчет ООО " МУК" по управлению и текущему содержанию МКД по адресу р.п.Мошково, ул.Пионерская 6 за  2014 год </t>
  </si>
  <si>
    <t>задолженность населения  на 01.01.2015 г</t>
  </si>
  <si>
    <t xml:space="preserve">жилого дома   № 4 по улице Пионерская   за  2014 года </t>
  </si>
  <si>
    <t xml:space="preserve">Отчет ООО " МУК" по управлению и текущему содержанию МКД по адресу р.п.Мошково, ул.Пионерская 2а  за  2014 год </t>
  </si>
  <si>
    <t>Задолженность на 01.01.2014года</t>
  </si>
  <si>
    <t xml:space="preserve">Начислено платежей за электроэнергию ОДН  </t>
  </si>
  <si>
    <t xml:space="preserve">Оплата за электроэнергию ОДН </t>
  </si>
  <si>
    <t xml:space="preserve">Отчет ООО " МУК" по управлению и текущему содержанию МКД по адресу р.п.Мошково, ул.Пионерская 24а за 2014 год </t>
  </si>
  <si>
    <t>ремонт кровли</t>
  </si>
  <si>
    <t>Дефицит денежных средств по жилому дому на 01.01.2015г</t>
  </si>
  <si>
    <t xml:space="preserve">Отчет ООО " МУК" по управлению и текущему содержанию МКД по адресу р.п.Мошково, ул.Пионерская 20 за  2014 год </t>
  </si>
  <si>
    <t>Начислено платежей за текущее содержание за 2014год</t>
  </si>
  <si>
    <t xml:space="preserve">Отчет ООО " МУК" по управлению и текущему содержанию МКД по адресу р.п.Мошково, ул.Пионерская 18 за  2014 год </t>
  </si>
  <si>
    <t xml:space="preserve">Отчет ООО " МУК" по управлению и текущему содержанию МКД по адресу р.п.Мошково, ул.Пионерская 16 за  2014 год </t>
  </si>
  <si>
    <t>финансовый результата за 2014 год</t>
  </si>
  <si>
    <t xml:space="preserve">Отчет ООО " МУК" по управлению и текущему содержанию МКД по адресу р.п.Мошково, ул.Пионерская 14 за  2014 год </t>
  </si>
  <si>
    <t xml:space="preserve">Отчет ООО " МУК" по управлению и текущему содержанию МКД по адресу р.п.Мошково, ул.Лесная 3А за   2014 год </t>
  </si>
  <si>
    <t>Собрано средств за  2014 год</t>
  </si>
  <si>
    <t xml:space="preserve">Отчет ООО " МУК" по управлению и текущему содержанию МКД по адресу р.п.Мошково, ул.Лесная 2А за   2014 года </t>
  </si>
  <si>
    <t xml:space="preserve">Отчет ООО " МУК" по управлению и текущему содержанию МКД по адресу р.п.Мошково,  ул.Гагарина 5а за  2014 год </t>
  </si>
  <si>
    <t>Финансовый результат  по жилому дому за 2014 год</t>
  </si>
  <si>
    <t xml:space="preserve">Начислено платежей за текущее содержание  </t>
  </si>
  <si>
    <t>Отчет ООО " МУК" по управлению и текущему содержанию МКД  № 3 а по адресу ул.Гагарина  за 2014 год</t>
  </si>
  <si>
    <t>Собрано средств за 201 год</t>
  </si>
  <si>
    <t>ФОТ и налоги на з/плату дворников и уборщиков ( вахтеры выплаты  по сокращению)</t>
  </si>
  <si>
    <t xml:space="preserve">получено субсидии </t>
  </si>
  <si>
    <t>Задолженность населения  на 01.01.2015 г</t>
  </si>
  <si>
    <t xml:space="preserve">Доходов по  текущему содержанию </t>
  </si>
  <si>
    <t>Затраты по управлению и текущему содержанию за 2014</t>
  </si>
  <si>
    <t>израсходовано материалов</t>
  </si>
  <si>
    <t>автотранспорт (сантехники, электрики)</t>
  </si>
  <si>
    <t>автотранспорт (дворники)</t>
  </si>
  <si>
    <t>накладные расходы в т.ч. Затраты по управлению домом</t>
  </si>
  <si>
    <t>профилактические испытания э/оборудования</t>
  </si>
  <si>
    <t>Отчет ООО " МУК" по управлению и текущему содержанию МКД  № 4 а по адресу ул.Пушкина  за 2014 год</t>
  </si>
  <si>
    <t>,</t>
  </si>
  <si>
    <t xml:space="preserve">обслуживание приборов учета </t>
  </si>
  <si>
    <t xml:space="preserve">обслуживание общедомовых приборов учета </t>
  </si>
  <si>
    <t>обслуживание общедомовых приборов учета</t>
  </si>
  <si>
    <t>обслуживание общедомовых приборов специализированной организацией</t>
  </si>
  <si>
    <t>Обслуживание общедомовых приборов учета  спец.организацией</t>
  </si>
  <si>
    <t xml:space="preserve">Статьи доходов и расходов </t>
  </si>
  <si>
    <t>Статьи доходов и расходов</t>
  </si>
  <si>
    <t>тыс.руб.</t>
  </si>
  <si>
    <t>Статьи  доходов и расходов</t>
  </si>
  <si>
    <t>управление жилым домом</t>
  </si>
  <si>
    <t>финансовый результат за 2014</t>
  </si>
  <si>
    <t>Получено средствв 2014 г.</t>
  </si>
  <si>
    <t>выполнено работ в 2014 г</t>
  </si>
  <si>
    <t xml:space="preserve">Доходов по  текущему содержанию жилого дома </t>
  </si>
  <si>
    <t>вывоз ЖБО  (по нормативу 2,74*33*80*12 = 86803,2руб)</t>
  </si>
  <si>
    <t xml:space="preserve">Пионерская </t>
  </si>
  <si>
    <t>Финансовый результат по домам за 2014 год</t>
  </si>
  <si>
    <t xml:space="preserve">Отчет ООО " МУК" по управлению и текущему содержанию МКД по адресу р.п.Мошково, ул.Гагарина 1  2014 год </t>
  </si>
  <si>
    <t>Отчет ООО " МУК" по управлению и текущему содержанию МКД  № 2а а по адресу ул.Гагарина  за 2014 год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</si>
</sst>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1"/>
      <name val="Times New Roman Cyr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C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33">
    <xf numFmtId="0" fontId="0" fillId="0" borderId="0" xfId="0"/>
    <xf numFmtId="4" fontId="2" fillId="0" borderId="0" xfId="0" applyNumberFormat="1" applyFont="1" applyFill="1" applyAlignment="1">
      <alignment vertical="center"/>
    </xf>
    <xf numFmtId="0" fontId="4" fillId="0" borderId="4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5" fillId="0" borderId="4" xfId="0" applyFont="1" applyBorder="1"/>
    <xf numFmtId="4" fontId="7" fillId="0" borderId="0" xfId="0" applyNumberFormat="1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0" xfId="0" applyFont="1"/>
    <xf numFmtId="0" fontId="10" fillId="0" borderId="0" xfId="1"/>
    <xf numFmtId="0" fontId="12" fillId="0" borderId="4" xfId="1" applyFont="1" applyBorder="1"/>
    <xf numFmtId="2" fontId="12" fillId="0" borderId="4" xfId="1" applyNumberFormat="1" applyFont="1" applyBorder="1"/>
    <xf numFmtId="0" fontId="14" fillId="0" borderId="4" xfId="1" applyFont="1" applyBorder="1"/>
    <xf numFmtId="0" fontId="15" fillId="0" borderId="0" xfId="1" applyFont="1"/>
    <xf numFmtId="2" fontId="14" fillId="0" borderId="4" xfId="1" applyNumberFormat="1" applyFont="1" applyBorder="1"/>
    <xf numFmtId="0" fontId="15" fillId="0" borderId="4" xfId="1" applyFont="1" applyBorder="1"/>
    <xf numFmtId="0" fontId="11" fillId="0" borderId="3" xfId="1" applyFont="1" applyBorder="1" applyAlignment="1">
      <alignment wrapText="1"/>
    </xf>
    <xf numFmtId="0" fontId="11" fillId="0" borderId="3" xfId="1" applyFont="1" applyBorder="1"/>
    <xf numFmtId="0" fontId="10" fillId="0" borderId="3" xfId="1" applyBorder="1"/>
    <xf numFmtId="0" fontId="12" fillId="0" borderId="0" xfId="1" applyFont="1"/>
    <xf numFmtId="164" fontId="12" fillId="0" borderId="4" xfId="1" applyNumberFormat="1" applyFont="1" applyBorder="1"/>
    <xf numFmtId="0" fontId="14" fillId="0" borderId="4" xfId="1" applyFont="1" applyBorder="1" applyAlignment="1">
      <alignment wrapText="1"/>
    </xf>
    <xf numFmtId="0" fontId="12" fillId="0" borderId="4" xfId="1" applyFont="1" applyBorder="1" applyAlignment="1">
      <alignment wrapText="1"/>
    </xf>
    <xf numFmtId="2" fontId="0" fillId="0" borderId="0" xfId="0" applyNumberFormat="1"/>
    <xf numFmtId="0" fontId="10" fillId="0" borderId="0" xfId="1" applyFill="1" applyBorder="1"/>
    <xf numFmtId="0" fontId="14" fillId="0" borderId="3" xfId="1" applyFont="1" applyBorder="1"/>
    <xf numFmtId="0" fontId="12" fillId="0" borderId="3" xfId="1" applyFont="1" applyBorder="1"/>
    <xf numFmtId="0" fontId="16" fillId="0" borderId="0" xfId="1" applyFont="1"/>
    <xf numFmtId="0" fontId="15" fillId="0" borderId="0" xfId="1" applyFont="1" applyFill="1" applyBorder="1"/>
    <xf numFmtId="0" fontId="15" fillId="0" borderId="4" xfId="1" applyFont="1" applyBorder="1" applyAlignment="1">
      <alignment horizontal="left"/>
    </xf>
    <xf numFmtId="2" fontId="12" fillId="0" borderId="5" xfId="1" applyNumberFormat="1" applyFont="1" applyBorder="1"/>
    <xf numFmtId="0" fontId="12" fillId="0" borderId="5" xfId="1" applyFont="1" applyBorder="1"/>
    <xf numFmtId="0" fontId="14" fillId="0" borderId="5" xfId="1" applyFont="1" applyBorder="1"/>
    <xf numFmtId="0" fontId="12" fillId="0" borderId="4" xfId="1" applyFont="1" applyBorder="1" applyAlignment="1">
      <alignment horizontal="center" vertical="center" wrapText="1"/>
    </xf>
    <xf numFmtId="0" fontId="14" fillId="0" borderId="6" xfId="1" applyFont="1" applyBorder="1"/>
    <xf numFmtId="2" fontId="12" fillId="0" borderId="0" xfId="1" applyNumberFormat="1" applyFont="1"/>
    <xf numFmtId="2" fontId="14" fillId="0" borderId="5" xfId="1" applyNumberFormat="1" applyFont="1" applyBorder="1"/>
    <xf numFmtId="0" fontId="12" fillId="0" borderId="0" xfId="1" applyFont="1" applyAlignment="1">
      <alignment horizontal="center"/>
    </xf>
    <xf numFmtId="2" fontId="5" fillId="0" borderId="0" xfId="0" applyNumberFormat="1" applyFont="1"/>
    <xf numFmtId="0" fontId="13" fillId="0" borderId="0" xfId="1" applyFont="1"/>
    <xf numFmtId="0" fontId="1" fillId="0" borderId="0" xfId="0" applyFont="1"/>
    <xf numFmtId="0" fontId="12" fillId="0" borderId="3" xfId="1" applyFont="1" applyBorder="1" applyAlignment="1">
      <alignment horizontal="left"/>
    </xf>
    <xf numFmtId="0" fontId="10" fillId="0" borderId="0" xfId="1" applyAlignment="1">
      <alignment horizontal="center"/>
    </xf>
    <xf numFmtId="0" fontId="12" fillId="0" borderId="0" xfId="1" applyFont="1" applyBorder="1" applyAlignment="1">
      <alignment horizontal="left"/>
    </xf>
    <xf numFmtId="2" fontId="12" fillId="0" borderId="0" xfId="1" applyNumberFormat="1" applyFont="1" applyBorder="1"/>
    <xf numFmtId="0" fontId="17" fillId="0" borderId="0" xfId="0" applyFont="1"/>
    <xf numFmtId="0" fontId="19" fillId="0" borderId="0" xfId="0" applyFont="1"/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44" fontId="19" fillId="0" borderId="4" xfId="0" applyNumberFormat="1" applyFont="1" applyBorder="1" applyAlignment="1">
      <alignment horizontal="center" vertical="center" wrapText="1"/>
    </xf>
    <xf numFmtId="44" fontId="19" fillId="0" borderId="4" xfId="0" applyNumberFormat="1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Fill="1" applyBorder="1"/>
    <xf numFmtId="0" fontId="19" fillId="0" borderId="4" xfId="0" applyFont="1" applyFill="1" applyBorder="1" applyAlignment="1">
      <alignment horizontal="center"/>
    </xf>
    <xf numFmtId="0" fontId="18" fillId="0" borderId="4" xfId="0" applyFont="1" applyBorder="1"/>
    <xf numFmtId="0" fontId="18" fillId="0" borderId="4" xfId="0" applyFont="1" applyFill="1" applyBorder="1"/>
    <xf numFmtId="0" fontId="18" fillId="0" borderId="4" xfId="0" applyFont="1" applyBorder="1" applyAlignment="1">
      <alignment horizontal="center"/>
    </xf>
    <xf numFmtId="44" fontId="18" fillId="0" borderId="4" xfId="0" applyNumberFormat="1" applyFont="1" applyBorder="1"/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5" fillId="0" borderId="0" xfId="1" applyFont="1" applyBorder="1" applyAlignment="1">
      <alignment horizontal="left"/>
    </xf>
    <xf numFmtId="4" fontId="6" fillId="2" borderId="0" xfId="0" applyNumberFormat="1" applyFont="1" applyFill="1" applyBorder="1" applyAlignment="1">
      <alignment vertical="center" wrapText="1"/>
    </xf>
    <xf numFmtId="4" fontId="9" fillId="3" borderId="0" xfId="1" applyNumberFormat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/>
    </xf>
    <xf numFmtId="0" fontId="14" fillId="0" borderId="4" xfId="1" applyFont="1" applyBorder="1" applyAlignment="1">
      <alignment horizontal="left" wrapText="1"/>
    </xf>
    <xf numFmtId="0" fontId="14" fillId="0" borderId="4" xfId="1" applyFont="1" applyBorder="1" applyAlignment="1">
      <alignment horizontal="left"/>
    </xf>
    <xf numFmtId="2" fontId="15" fillId="0" borderId="0" xfId="1" applyNumberFormat="1" applyFont="1" applyBorder="1"/>
    <xf numFmtId="0" fontId="15" fillId="0" borderId="4" xfId="1" applyFont="1" applyBorder="1" applyAlignment="1">
      <alignment horizontal="left"/>
    </xf>
    <xf numFmtId="0" fontId="15" fillId="0" borderId="4" xfId="1" applyFont="1" applyBorder="1" applyAlignment="1">
      <alignment horizontal="left"/>
    </xf>
    <xf numFmtId="0" fontId="15" fillId="0" borderId="4" xfId="1" applyFont="1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/>
    </xf>
    <xf numFmtId="44" fontId="20" fillId="0" borderId="4" xfId="0" applyNumberFormat="1" applyFont="1" applyBorder="1" applyAlignment="1">
      <alignment horizontal="center" vertical="center" wrapText="1"/>
    </xf>
    <xf numFmtId="44" fontId="20" fillId="0" borderId="4" xfId="0" applyNumberFormat="1" applyFont="1" applyBorder="1"/>
    <xf numFmtId="0" fontId="20" fillId="0" borderId="0" xfId="0" applyFont="1"/>
    <xf numFmtId="0" fontId="21" fillId="0" borderId="4" xfId="0" applyFont="1" applyBorder="1" applyAlignment="1">
      <alignment horizontal="center" vertical="center" wrapText="1"/>
    </xf>
    <xf numFmtId="44" fontId="21" fillId="0" borderId="4" xfId="0" applyNumberFormat="1" applyFont="1" applyBorder="1"/>
    <xf numFmtId="0" fontId="14" fillId="0" borderId="2" xfId="1" applyFont="1" applyBorder="1"/>
    <xf numFmtId="0" fontId="14" fillId="0" borderId="1" xfId="1" applyFont="1" applyBorder="1"/>
    <xf numFmtId="0" fontId="12" fillId="0" borderId="0" xfId="1" applyFont="1" applyAlignment="1">
      <alignment horizontal="center"/>
    </xf>
    <xf numFmtId="0" fontId="14" fillId="0" borderId="3" xfId="1" applyFont="1" applyBorder="1" applyAlignment="1">
      <alignment wrapText="1"/>
    </xf>
    <xf numFmtId="0" fontId="12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2" fontId="13" fillId="0" borderId="0" xfId="1" applyNumberFormat="1" applyFont="1"/>
    <xf numFmtId="2" fontId="10" fillId="0" borderId="0" xfId="1" applyNumberFormat="1"/>
    <xf numFmtId="0" fontId="12" fillId="0" borderId="0" xfId="1" applyFont="1" applyAlignment="1">
      <alignment horizontal="center"/>
    </xf>
    <xf numFmtId="0" fontId="15" fillId="0" borderId="7" xfId="1" applyFont="1" applyBorder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4" xfId="1" applyFont="1" applyBorder="1" applyAlignment="1">
      <alignment horizontal="center" vertical="center"/>
    </xf>
    <xf numFmtId="0" fontId="14" fillId="0" borderId="4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4" fillId="0" borderId="4" xfId="1" applyFont="1" applyBorder="1" applyAlignment="1">
      <alignment horizontal="left" wrapText="1"/>
    </xf>
    <xf numFmtId="0" fontId="12" fillId="0" borderId="4" xfId="1" applyFont="1" applyBorder="1" applyAlignment="1">
      <alignment horizontal="left"/>
    </xf>
    <xf numFmtId="0" fontId="14" fillId="0" borderId="4" xfId="1" applyFont="1" applyBorder="1" applyAlignment="1">
      <alignment horizontal="left" wrapText="1"/>
    </xf>
    <xf numFmtId="0" fontId="14" fillId="0" borderId="4" xfId="1" applyFont="1" applyBorder="1" applyAlignment="1">
      <alignment horizontal="left"/>
    </xf>
    <xf numFmtId="0" fontId="12" fillId="2" borderId="4" xfId="1" applyFont="1" applyFill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2" fillId="0" borderId="4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14" fillId="0" borderId="4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4" fontId="9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4" fontId="9" fillId="3" borderId="0" xfId="1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4" fontId="9" fillId="3" borderId="5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2" borderId="4" xfId="1" applyFont="1" applyFill="1" applyBorder="1"/>
    <xf numFmtId="0" fontId="12" fillId="0" borderId="4" xfId="1" applyFont="1" applyBorder="1" applyAlignment="1">
      <alignment horizontal="left"/>
    </xf>
    <xf numFmtId="0" fontId="14" fillId="0" borderId="4" xfId="1" applyFont="1" applyBorder="1" applyAlignment="1">
      <alignment horizontal="left" wrapText="1"/>
    </xf>
    <xf numFmtId="0" fontId="14" fillId="0" borderId="4" xfId="1" applyFont="1" applyBorder="1" applyAlignment="1">
      <alignment horizontal="left"/>
    </xf>
    <xf numFmtId="0" fontId="15" fillId="0" borderId="4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12" fillId="0" borderId="4" xfId="1" applyFont="1" applyBorder="1" applyAlignment="1">
      <alignment horizontal="left"/>
    </xf>
    <xf numFmtId="0" fontId="14" fillId="0" borderId="4" xfId="1" applyFont="1" applyBorder="1" applyAlignment="1">
      <alignment horizontal="left" wrapText="1"/>
    </xf>
    <xf numFmtId="0" fontId="14" fillId="0" borderId="4" xfId="1" applyFont="1" applyBorder="1" applyAlignment="1">
      <alignment horizontal="left"/>
    </xf>
    <xf numFmtId="0" fontId="15" fillId="0" borderId="4" xfId="1" applyFont="1" applyBorder="1" applyAlignment="1">
      <alignment horizontal="left"/>
    </xf>
    <xf numFmtId="4" fontId="9" fillId="3" borderId="4" xfId="1" applyNumberFormat="1" applyFont="1" applyFill="1" applyBorder="1" applyAlignment="1">
      <alignment horizontal="center" vertical="center" wrapText="1"/>
    </xf>
    <xf numFmtId="4" fontId="9" fillId="3" borderId="6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4" fontId="9" fillId="3" borderId="0" xfId="1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4" fontId="9" fillId="3" borderId="6" xfId="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1"/>
  <sheetViews>
    <sheetView workbookViewId="0">
      <selection activeCell="G14" sqref="G14"/>
    </sheetView>
  </sheetViews>
  <sheetFormatPr defaultRowHeight="15"/>
  <cols>
    <col min="1" max="1" width="81.5703125" customWidth="1"/>
    <col min="2" max="2" width="0.28515625" customWidth="1"/>
    <col min="3" max="3" width="16.28515625" customWidth="1"/>
  </cols>
  <sheetData>
    <row r="1" spans="1:251" s="10" customFormat="1" ht="40.5" customHeight="1">
      <c r="A1" s="64" t="s">
        <v>101</v>
      </c>
      <c r="B1" s="20"/>
      <c r="C1" s="20"/>
      <c r="IQ1"/>
    </row>
    <row r="2" spans="1:251" s="10" customFormat="1" ht="46.5" customHeight="1">
      <c r="A2" s="125" t="s">
        <v>185</v>
      </c>
      <c r="B2" s="125"/>
      <c r="C2" s="106" t="s">
        <v>184</v>
      </c>
      <c r="IQ2"/>
    </row>
    <row r="3" spans="1:251" s="3" customFormat="1">
      <c r="A3" s="123" t="s">
        <v>4</v>
      </c>
      <c r="B3" s="123"/>
      <c r="C3" s="13">
        <v>261.8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</row>
    <row r="4" spans="1:251" s="3" customFormat="1">
      <c r="A4" s="123" t="s">
        <v>5</v>
      </c>
      <c r="B4" s="123"/>
      <c r="C4" s="13">
        <v>14.23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1" s="3" customFormat="1">
      <c r="A5" s="121" t="s">
        <v>38</v>
      </c>
      <c r="B5" s="121"/>
      <c r="C5" s="11">
        <v>44705.04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1" s="3" customFormat="1">
      <c r="A6" s="121" t="s">
        <v>15</v>
      </c>
      <c r="B6" s="121"/>
      <c r="C6" s="11">
        <f>C5-C7</f>
        <v>42250.62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1" s="3" customFormat="1">
      <c r="A7" s="121" t="s">
        <v>100</v>
      </c>
      <c r="B7" s="121"/>
      <c r="C7" s="11">
        <v>2454.42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1" s="3" customFormat="1" ht="21" customHeight="1">
      <c r="A8" s="122" t="s">
        <v>102</v>
      </c>
      <c r="B8" s="122"/>
      <c r="C8" s="13">
        <f>C6</f>
        <v>42250.62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1" s="3" customFormat="1">
      <c r="A9" s="124"/>
      <c r="B9" s="124"/>
      <c r="C9" s="16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1" s="3" customFormat="1">
      <c r="A10" s="123" t="s">
        <v>99</v>
      </c>
      <c r="B10" s="123"/>
      <c r="C10" s="15">
        <f>C12+C13+C14+C16+C17</f>
        <v>40131.44008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1" s="3" customFormat="1">
      <c r="A11" s="121" t="s">
        <v>7</v>
      </c>
      <c r="B11" s="121"/>
      <c r="C11" s="1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1" s="3" customFormat="1">
      <c r="A12" s="121" t="s">
        <v>2</v>
      </c>
      <c r="B12" s="121"/>
      <c r="C12" s="12">
        <f>C3*3.44*12</f>
        <v>10807.103999999999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1" s="3" customFormat="1">
      <c r="A13" s="121" t="s">
        <v>17</v>
      </c>
      <c r="B13" s="121"/>
      <c r="C13" s="12">
        <f>0.31*C3*12*1.48</f>
        <v>1441.36608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1" s="3" customFormat="1">
      <c r="A14" s="121" t="s">
        <v>8</v>
      </c>
      <c r="B14" s="121"/>
      <c r="C14" s="12">
        <f>10*70*1.48</f>
        <v>1036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1" s="3" customFormat="1">
      <c r="A15" s="121" t="s">
        <v>10</v>
      </c>
      <c r="B15" s="121"/>
      <c r="C15" s="12">
        <v>99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1" s="3" customFormat="1">
      <c r="A16" s="121" t="s">
        <v>11</v>
      </c>
      <c r="B16" s="121"/>
      <c r="C16" s="12">
        <f>C15*130*1.302*1.6</f>
        <v>26810.784000000003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s="3" customFormat="1">
      <c r="A17" s="121" t="s">
        <v>83</v>
      </c>
      <c r="B17" s="121"/>
      <c r="C17" s="12">
        <f>24.45*1.48</f>
        <v>36.186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s="3" customFormat="1">
      <c r="A18" s="121" t="s">
        <v>103</v>
      </c>
      <c r="B18" s="121"/>
      <c r="C18" s="12">
        <f>C8-C10</f>
        <v>2119.1799200000023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>
      <c r="A19" s="14"/>
      <c r="B19" s="14"/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1:250">
      <c r="A20" s="107" t="s">
        <v>12</v>
      </c>
      <c r="B20" s="14"/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1:250">
      <c r="A21" s="5"/>
      <c r="B21" s="5"/>
      <c r="C21" s="5"/>
    </row>
  </sheetData>
  <mergeCells count="17">
    <mergeCell ref="A4:B4"/>
    <mergeCell ref="A5:B5"/>
    <mergeCell ref="A2:B2"/>
    <mergeCell ref="A3:B3"/>
    <mergeCell ref="A11:B11"/>
    <mergeCell ref="A12:B12"/>
    <mergeCell ref="A13:B13"/>
    <mergeCell ref="A6:B6"/>
    <mergeCell ref="A7:B7"/>
    <mergeCell ref="A8:B8"/>
    <mergeCell ref="A10:B10"/>
    <mergeCell ref="A9:B9"/>
    <mergeCell ref="A17:B17"/>
    <mergeCell ref="A18:B18"/>
    <mergeCell ref="A14:B14"/>
    <mergeCell ref="A15:B15"/>
    <mergeCell ref="A16:B1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workbookViewId="0">
      <selection activeCell="A26" sqref="A26:XFD26"/>
    </sheetView>
  </sheetViews>
  <sheetFormatPr defaultRowHeight="15"/>
  <cols>
    <col min="1" max="1" width="81.7109375" customWidth="1"/>
    <col min="2" max="2" width="10.7109375" customWidth="1"/>
  </cols>
  <sheetData>
    <row r="1" spans="1:252" s="14" customFormat="1" ht="43.5" customHeight="1">
      <c r="A1" s="126" t="s">
        <v>154</v>
      </c>
      <c r="B1" s="126"/>
      <c r="IR1" s="5"/>
    </row>
    <row r="2" spans="1:252" s="111" customFormat="1" ht="43.5" customHeight="1">
      <c r="A2" s="8" t="s">
        <v>183</v>
      </c>
      <c r="B2" s="8" t="s">
        <v>184</v>
      </c>
      <c r="IR2" s="112"/>
    </row>
    <row r="3" spans="1:252" s="5" customFormat="1">
      <c r="A3" s="13" t="s">
        <v>14</v>
      </c>
      <c r="B3" s="13">
        <v>728.2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2" s="5" customFormat="1">
      <c r="A4" s="13" t="s">
        <v>5</v>
      </c>
      <c r="B4" s="13">
        <v>30.24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2" s="5" customFormat="1">
      <c r="A5" s="11" t="s">
        <v>77</v>
      </c>
      <c r="B5" s="11">
        <v>122525.79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2" s="5" customFormat="1">
      <c r="A6" s="11" t="s">
        <v>78</v>
      </c>
      <c r="B6" s="11">
        <v>264164.58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2" s="5" customFormat="1">
      <c r="A7" s="11" t="s">
        <v>60</v>
      </c>
      <c r="B7" s="11">
        <v>1839.9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2" s="3" customFormat="1">
      <c r="A8" s="11" t="s">
        <v>57</v>
      </c>
      <c r="B8" s="11">
        <f>B5+B6+B7-B9</f>
        <v>228876.58000000002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2" s="3" customFormat="1">
      <c r="A9" s="11" t="s">
        <v>142</v>
      </c>
      <c r="B9" s="11">
        <v>159653.69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2" s="3" customFormat="1" ht="22.5" customHeight="1">
      <c r="A10" s="22" t="s">
        <v>94</v>
      </c>
      <c r="B10" s="13">
        <f>B8</f>
        <v>228876.58000000002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2" s="5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2" s="5" customFormat="1">
      <c r="A12" s="13" t="s">
        <v>95</v>
      </c>
      <c r="B12" s="15">
        <f>B14+B16+B18+B20+B21+B22+B15+B17</f>
        <v>311210.70290000003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2" s="3" customFormat="1">
      <c r="A13" s="11" t="s">
        <v>7</v>
      </c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2" s="3" customFormat="1">
      <c r="A14" s="11" t="s">
        <v>3</v>
      </c>
      <c r="B14" s="12">
        <f>2.74*12*B3*1.2</f>
        <v>28731.859200000003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2" s="3" customFormat="1">
      <c r="A15" s="11" t="s">
        <v>45</v>
      </c>
      <c r="B15" s="12">
        <f>(238322-120005.88)*1.25</f>
        <v>147895.15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52" s="3" customFormat="1">
      <c r="A16" s="11" t="s">
        <v>17</v>
      </c>
      <c r="B16" s="12">
        <f>3.44*12*B3*1.2</f>
        <v>36072.1152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3" customFormat="1">
      <c r="A17" s="11" t="s">
        <v>2</v>
      </c>
      <c r="B17" s="12">
        <f>3.44*12*B3</f>
        <v>30060.096000000001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s="5" customFormat="1">
      <c r="A18" s="11" t="s">
        <v>8</v>
      </c>
      <c r="B18" s="12">
        <f>100*54*1.2</f>
        <v>6480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s="3" customFormat="1">
      <c r="A19" s="11" t="s">
        <v>63</v>
      </c>
      <c r="B19" s="12">
        <f>9100*0.02*1.302*12*1.13*1.25</f>
        <v>4016.5398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5" customFormat="1">
      <c r="A20" s="11" t="s">
        <v>10</v>
      </c>
      <c r="B20" s="12">
        <v>223.5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s="5" customFormat="1">
      <c r="A21" s="11" t="s">
        <v>11</v>
      </c>
      <c r="B21" s="12">
        <f>B20*130*1.302*1.25</f>
        <v>47287.012499999997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s="3" customFormat="1">
      <c r="A22" s="11" t="s">
        <v>147</v>
      </c>
      <c r="B22" s="12">
        <v>14460.97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3" customFormat="1">
      <c r="A23" s="11" t="s">
        <v>83</v>
      </c>
      <c r="B23" s="12">
        <v>8864.0499999999993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s="3" customFormat="1">
      <c r="A24" s="11" t="s">
        <v>155</v>
      </c>
      <c r="B24" s="12">
        <f>B10-B12</f>
        <v>-82334.122900000017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s="5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s="3" customFormat="1">
      <c r="A26" s="107" t="s">
        <v>12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  <row r="27" spans="1:251" s="5" customFormat="1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workbookViewId="0">
      <selection activeCell="A2" sqref="A2:XFD3"/>
    </sheetView>
  </sheetViews>
  <sheetFormatPr defaultRowHeight="15"/>
  <cols>
    <col min="1" max="1" width="87" customWidth="1"/>
    <col min="2" max="2" width="16.5703125" customWidth="1"/>
  </cols>
  <sheetData>
    <row r="1" spans="1:252" s="5" customFormat="1">
      <c r="A1" s="7"/>
    </row>
    <row r="2" spans="1:252" s="14" customFormat="1" ht="43.5" customHeight="1">
      <c r="A2" s="126" t="s">
        <v>156</v>
      </c>
      <c r="B2" s="126"/>
      <c r="IP2" s="5"/>
    </row>
    <row r="3" spans="1:252" s="111" customFormat="1" ht="43.5" customHeight="1">
      <c r="A3" s="8" t="s">
        <v>183</v>
      </c>
      <c r="B3" s="8" t="s">
        <v>184</v>
      </c>
      <c r="IR3" s="112"/>
    </row>
    <row r="4" spans="1:252" s="5" customFormat="1">
      <c r="A4" s="13" t="s">
        <v>14</v>
      </c>
      <c r="B4" s="13">
        <v>721.62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52" s="5" customFormat="1">
      <c r="A5" s="13" t="s">
        <v>5</v>
      </c>
      <c r="B5" s="13">
        <v>30.24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</row>
    <row r="6" spans="1:252" s="5" customFormat="1">
      <c r="A6" s="11" t="s">
        <v>77</v>
      </c>
      <c r="B6" s="11">
        <v>110417.69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52" s="5" customFormat="1">
      <c r="A7" s="11" t="s">
        <v>78</v>
      </c>
      <c r="B7" s="11">
        <v>261661.6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52" s="5" customFormat="1">
      <c r="A8" s="11" t="s">
        <v>57</v>
      </c>
      <c r="B8" s="11">
        <f>B6+B7-B9</f>
        <v>214335.52000000005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</row>
    <row r="9" spans="1:252" s="5" customFormat="1">
      <c r="A9" s="11" t="s">
        <v>56</v>
      </c>
      <c r="B9" s="11">
        <v>157743.76999999999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</row>
    <row r="10" spans="1:252" s="5" customFormat="1" ht="22.5" customHeight="1">
      <c r="A10" s="22" t="s">
        <v>94</v>
      </c>
      <c r="B10" s="13">
        <f>B8</f>
        <v>214335.52000000005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</row>
    <row r="11" spans="1:252" s="5" customFormat="1">
      <c r="A11" s="20"/>
      <c r="B11" s="2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</row>
    <row r="12" spans="1:252" s="5" customFormat="1">
      <c r="A12" s="13" t="s">
        <v>95</v>
      </c>
      <c r="B12" s="15">
        <f>B14+B17+B18+B19+B21+B22+B15+B16</f>
        <v>290594.14876000001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52" s="3" customFormat="1">
      <c r="A13" s="11" t="s">
        <v>7</v>
      </c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52" s="3" customFormat="1">
      <c r="A14" s="11" t="s">
        <v>3</v>
      </c>
      <c r="B14" s="12">
        <f>2.74*12*B4*1.1</f>
        <v>26099.552160000003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</row>
    <row r="15" spans="1:252" s="3" customFormat="1">
      <c r="A15" s="11" t="s">
        <v>45</v>
      </c>
      <c r="B15" s="12">
        <v>184440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  <row r="16" spans="1:252" s="3" customFormat="1">
      <c r="A16" s="11" t="s">
        <v>17</v>
      </c>
      <c r="B16" s="12">
        <f>0.31*B4*12*1.25</f>
        <v>3355.5330000000004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</row>
    <row r="17" spans="1:251" s="3" customFormat="1">
      <c r="A17" s="11" t="s">
        <v>2</v>
      </c>
      <c r="B17" s="12">
        <f>3.44*12*B4</f>
        <v>29788.473600000001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</row>
    <row r="18" spans="1:251" s="5" customFormat="1">
      <c r="A18" s="11" t="s">
        <v>8</v>
      </c>
      <c r="B18" s="12">
        <f>70*52*1.25</f>
        <v>4550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</row>
    <row r="19" spans="1:251" s="3" customFormat="1">
      <c r="A19" s="11" t="s">
        <v>63</v>
      </c>
      <c r="B19" s="12">
        <f>0.02*9100*13*1.302*1.25</f>
        <v>3850.665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</row>
    <row r="20" spans="1:251" s="5" customFormat="1">
      <c r="A20" s="11" t="s">
        <v>10</v>
      </c>
      <c r="B20" s="12">
        <v>179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</row>
    <row r="21" spans="1:251" s="5" customFormat="1">
      <c r="A21" s="11" t="s">
        <v>11</v>
      </c>
      <c r="B21" s="12">
        <f>B20*130*1.302*1.25</f>
        <v>37871.925000000003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</row>
    <row r="22" spans="1:251" s="3" customFormat="1">
      <c r="A22" s="11" t="s">
        <v>83</v>
      </c>
      <c r="B22" s="12">
        <v>638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</row>
    <row r="23" spans="1:251" s="5" customFormat="1">
      <c r="A23" s="11" t="s">
        <v>79</v>
      </c>
      <c r="B23" s="12">
        <v>225604.14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51" s="5" customFormat="1">
      <c r="A24" s="11" t="s">
        <v>150</v>
      </c>
      <c r="B24" s="12">
        <f>B10-B12-B23</f>
        <v>-301862.76876000001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51" s="5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51" s="3" customFormat="1">
      <c r="A26" s="107" t="s">
        <v>12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42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workbookViewId="0">
      <selection activeCell="C10" sqref="C10"/>
    </sheetView>
  </sheetViews>
  <sheetFormatPr defaultRowHeight="15"/>
  <cols>
    <col min="1" max="1" width="80.85546875" customWidth="1"/>
    <col min="2" max="2" width="3.28515625" hidden="1" customWidth="1"/>
    <col min="3" max="3" width="12.5703125" customWidth="1"/>
  </cols>
  <sheetData>
    <row r="1" spans="1:254" s="5" customFormat="1">
      <c r="A1" s="7"/>
      <c r="B1" s="7"/>
    </row>
    <row r="2" spans="1:254" s="14" customFormat="1" ht="43.5" customHeight="1">
      <c r="A2" s="128" t="s">
        <v>141</v>
      </c>
      <c r="B2" s="128"/>
      <c r="C2" s="128"/>
      <c r="F2" s="5"/>
      <c r="IT2" s="5"/>
    </row>
    <row r="3" spans="1:254" s="111" customFormat="1" ht="43.5" customHeight="1">
      <c r="A3" s="8" t="s">
        <v>183</v>
      </c>
      <c r="B3" s="8" t="s">
        <v>184</v>
      </c>
      <c r="C3" s="91" t="s">
        <v>184</v>
      </c>
      <c r="IR3" s="112"/>
    </row>
    <row r="4" spans="1:254" s="5" customFormat="1">
      <c r="A4" s="13" t="s">
        <v>14</v>
      </c>
      <c r="B4" s="20"/>
      <c r="C4" s="13">
        <v>355.4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4" s="5" customFormat="1">
      <c r="A5" s="13" t="s">
        <v>5</v>
      </c>
      <c r="B5" s="20"/>
      <c r="C5" s="13">
        <v>27.8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4" s="5" customFormat="1">
      <c r="A6" s="11" t="s">
        <v>77</v>
      </c>
      <c r="B6" s="20"/>
      <c r="C6" s="11">
        <v>11525.31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4" s="5" customFormat="1">
      <c r="A7" s="11" t="s">
        <v>78</v>
      </c>
      <c r="B7" s="20"/>
      <c r="C7" s="11">
        <v>118561.44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4" s="5" customFormat="1">
      <c r="A8" s="11" t="s">
        <v>57</v>
      </c>
      <c r="B8" s="20"/>
      <c r="C8" s="11">
        <f>C6+C7-C9</f>
        <v>128561.13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4" s="5" customFormat="1">
      <c r="A9" s="11" t="s">
        <v>142</v>
      </c>
      <c r="B9" s="20"/>
      <c r="C9" s="11">
        <v>1525.62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4" s="5" customFormat="1" ht="22.5" customHeight="1">
      <c r="A10" s="22" t="s">
        <v>94</v>
      </c>
      <c r="B10" s="36"/>
      <c r="C10" s="13">
        <f>C8</f>
        <v>128561.13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4" s="5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4" s="5" customFormat="1">
      <c r="A12" s="13" t="s">
        <v>95</v>
      </c>
      <c r="B12" s="20"/>
      <c r="C12" s="15">
        <f>C14+C17+C18+C19+C21+C22+C15+C16</f>
        <v>159134.00440000001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4" s="5" customFormat="1">
      <c r="A13" s="11" t="s">
        <v>7</v>
      </c>
      <c r="B13" s="20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4" s="5" customFormat="1">
      <c r="A14" s="11" t="s">
        <v>3</v>
      </c>
      <c r="B14" s="20"/>
      <c r="C14" s="12">
        <f>2.74*12*C4*1.2</f>
        <v>14022.662399999999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4" s="5" customFormat="1">
      <c r="A15" s="11" t="s">
        <v>45</v>
      </c>
      <c r="B15" s="20"/>
      <c r="C15" s="12">
        <f>195*300*1.06*1.2+13*500*1.06*1.2</f>
        <v>82680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4" s="3" customFormat="1">
      <c r="A16" s="11" t="s">
        <v>17</v>
      </c>
      <c r="B16" s="20"/>
      <c r="C16" s="12">
        <f>0.31*C4*12*1.2</f>
        <v>1586.5056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3" customFormat="1">
      <c r="A17" s="11" t="s">
        <v>2</v>
      </c>
      <c r="B17" s="20"/>
      <c r="C17" s="12">
        <f>3.44*12*C4</f>
        <v>14670.912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3" customFormat="1">
      <c r="A18" s="11" t="s">
        <v>8</v>
      </c>
      <c r="B18" s="20"/>
      <c r="C18" s="12">
        <f>27*70*1.2</f>
        <v>2268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3" customFormat="1">
      <c r="A19" s="11" t="s">
        <v>63</v>
      </c>
      <c r="B19" s="20"/>
      <c r="C19" s="12">
        <f>0.02*9100*13*1.302*1.2</f>
        <v>3696.6383999999998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3" customFormat="1">
      <c r="A20" s="11" t="s">
        <v>10</v>
      </c>
      <c r="B20" s="20"/>
      <c r="C20" s="12">
        <v>156.5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3" customFormat="1">
      <c r="A21" s="11" t="s">
        <v>11</v>
      </c>
      <c r="B21" s="20"/>
      <c r="C21" s="12">
        <f>C20*130*1.302*1.4</f>
        <v>37084.866000000002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3" customFormat="1">
      <c r="A22" s="11" t="s">
        <v>83</v>
      </c>
      <c r="B22" s="20"/>
      <c r="C22" s="12">
        <v>3124.42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3" customFormat="1">
      <c r="A23" s="11" t="s">
        <v>124</v>
      </c>
      <c r="B23" s="20"/>
      <c r="C23" s="12">
        <f>C10-C12</f>
        <v>-30572.874400000001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s="5" customForma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s="3" customFormat="1">
      <c r="A25" s="107" t="s">
        <v>12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5" customFormat="1">
      <c r="F26" s="14"/>
    </row>
    <row r="27" spans="1:253" s="5" customFormat="1"/>
    <row r="28" spans="1:253" s="5" customFormat="1"/>
    <row r="29" spans="1:253" s="5" customFormat="1"/>
    <row r="30" spans="1:253">
      <c r="F30" s="5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48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1"/>
  <sheetViews>
    <sheetView workbookViewId="0">
      <selection activeCell="A29" sqref="A29"/>
    </sheetView>
  </sheetViews>
  <sheetFormatPr defaultRowHeight="15"/>
  <cols>
    <col min="1" max="1" width="79.85546875" customWidth="1"/>
    <col min="2" max="2" width="14" customWidth="1"/>
  </cols>
  <sheetData>
    <row r="1" spans="1:251" s="5" customFormat="1" ht="15.75">
      <c r="A1" s="130" t="s">
        <v>0</v>
      </c>
      <c r="B1" s="130"/>
    </row>
    <row r="2" spans="1:251" s="5" customFormat="1" ht="15.75">
      <c r="A2" s="129" t="s">
        <v>47</v>
      </c>
      <c r="B2" s="129"/>
    </row>
    <row r="3" spans="1:251" s="4" customFormat="1" ht="15.75">
      <c r="A3" s="129" t="s">
        <v>143</v>
      </c>
      <c r="B3" s="129"/>
      <c r="E3" s="5"/>
    </row>
    <row r="4" spans="1:251" s="5" customFormat="1">
      <c r="A4" s="1"/>
      <c r="B4" s="3"/>
      <c r="E4" s="4"/>
    </row>
    <row r="5" spans="1:251" s="111" customFormat="1" ht="43.5" customHeight="1">
      <c r="A5" s="8" t="s">
        <v>183</v>
      </c>
      <c r="B5" s="8" t="s">
        <v>184</v>
      </c>
      <c r="IQ5" s="112"/>
    </row>
    <row r="6" spans="1:251" s="5" customFormat="1">
      <c r="A6" s="80" t="s">
        <v>62</v>
      </c>
      <c r="B6" s="13">
        <v>208.8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</row>
    <row r="7" spans="1:251" s="5" customFormat="1">
      <c r="A7" s="26" t="s">
        <v>5</v>
      </c>
      <c r="B7" s="13">
        <v>17.829999999999998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</row>
    <row r="8" spans="1:251" s="3" customFormat="1">
      <c r="A8" s="27" t="s">
        <v>77</v>
      </c>
      <c r="B8" s="11">
        <v>29893.68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:251" s="3" customFormat="1">
      <c r="A9" s="27" t="s">
        <v>38</v>
      </c>
      <c r="B9" s="11">
        <v>44674.92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51" s="3" customFormat="1">
      <c r="A10" s="27" t="s">
        <v>15</v>
      </c>
      <c r="B10" s="11">
        <f>B8+B9-B11</f>
        <v>33412.420000000006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</row>
    <row r="11" spans="1:251" s="3" customFormat="1">
      <c r="A11" s="27" t="s">
        <v>100</v>
      </c>
      <c r="B11" s="11">
        <v>41156.18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251" s="5" customFormat="1" ht="29.25" customHeight="1">
      <c r="A12" s="82" t="s">
        <v>42</v>
      </c>
      <c r="B12" s="13">
        <f>B10</f>
        <v>33412.420000000006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</row>
    <row r="13" spans="1:251" s="5" customFormat="1">
      <c r="A13" s="14"/>
      <c r="B13" s="1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51" s="5" customFormat="1">
      <c r="A14" s="26" t="s">
        <v>99</v>
      </c>
      <c r="B14" s="15">
        <f>B16+B17+B18+B19+B20+B22+B23</f>
        <v>36121.995439999999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51" s="5" customFormat="1">
      <c r="A15" s="27" t="s">
        <v>7</v>
      </c>
      <c r="B15" s="1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</row>
    <row r="16" spans="1:251" s="5" customFormat="1">
      <c r="A16" s="27" t="s">
        <v>3</v>
      </c>
      <c r="B16" s="12">
        <f>2.74*12*B6</f>
        <v>6865.344000000001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</row>
    <row r="17" spans="1:249" s="5" customFormat="1">
      <c r="A17" s="27" t="s">
        <v>2</v>
      </c>
      <c r="B17" s="12">
        <f>3.44*B6*12*1.19</f>
        <v>10256.92416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</row>
    <row r="18" spans="1:249" s="3" customFormat="1">
      <c r="A18" s="27" t="s">
        <v>17</v>
      </c>
      <c r="B18" s="12">
        <f>0.31*12*B6*1.12</f>
        <v>869.94432000000006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</row>
    <row r="19" spans="1:249" s="5" customFormat="1">
      <c r="A19" s="27" t="s">
        <v>8</v>
      </c>
      <c r="B19" s="12">
        <f>6*70*1.19</f>
        <v>499.79999999999995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</row>
    <row r="20" spans="1:249" s="3" customFormat="1">
      <c r="A20" s="27" t="s">
        <v>13</v>
      </c>
      <c r="B20" s="12">
        <f>0.01*9100*12*1.302*1.19</f>
        <v>1691.9229600000001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</row>
    <row r="21" spans="1:249" s="5" customFormat="1">
      <c r="A21" s="27" t="s">
        <v>10</v>
      </c>
      <c r="B21" s="12">
        <v>49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</row>
    <row r="22" spans="1:249" s="5" customFormat="1">
      <c r="A22" s="27" t="s">
        <v>11</v>
      </c>
      <c r="B22" s="12">
        <f>B21*110*1.302*2</f>
        <v>14035.560000000001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</row>
    <row r="23" spans="1:249" s="3" customFormat="1">
      <c r="A23" s="27" t="s">
        <v>83</v>
      </c>
      <c r="B23" s="12">
        <v>1902.5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</row>
    <row r="24" spans="1:249" s="5" customFormat="1">
      <c r="A24" s="27" t="s">
        <v>61</v>
      </c>
      <c r="B24" s="12">
        <f>B12-B14</f>
        <v>-2709.5754399999933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49" s="5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49" s="3" customFormat="1">
      <c r="A26" s="127" t="s">
        <v>12</v>
      </c>
      <c r="B26" s="127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</row>
    <row r="27" spans="1:249" s="5" customFormat="1"/>
    <row r="28" spans="1:249" s="5" customFormat="1" ht="54.75" customHeight="1">
      <c r="A28" s="29"/>
    </row>
    <row r="29" spans="1:249" s="5" customFormat="1">
      <c r="B29" s="39"/>
    </row>
    <row r="30" spans="1:249" s="5" customFormat="1"/>
    <row r="31" spans="1:249" s="5" customFormat="1"/>
  </sheetData>
  <mergeCells count="4">
    <mergeCell ref="A3:B3"/>
    <mergeCell ref="A1:B1"/>
    <mergeCell ref="A2:B2"/>
    <mergeCell ref="A26:B26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workbookViewId="0">
      <selection activeCell="A2" sqref="A2:XFD2"/>
    </sheetView>
  </sheetViews>
  <sheetFormatPr defaultRowHeight="15"/>
  <cols>
    <col min="1" max="1" width="81.5703125" customWidth="1"/>
    <col min="2" max="2" width="13.5703125" customWidth="1"/>
  </cols>
  <sheetData>
    <row r="1" spans="1:251" s="14" customFormat="1" ht="43.5" customHeight="1">
      <c r="A1" s="126" t="s">
        <v>144</v>
      </c>
      <c r="B1" s="126"/>
      <c r="IO1" s="5"/>
    </row>
    <row r="2" spans="1:251" s="111" customFormat="1" ht="43.5" customHeight="1">
      <c r="A2" s="8" t="s">
        <v>183</v>
      </c>
      <c r="B2" s="8" t="s">
        <v>184</v>
      </c>
      <c r="IQ2" s="112"/>
    </row>
    <row r="3" spans="1:251" s="5" customFormat="1">
      <c r="A3" s="13" t="s">
        <v>4</v>
      </c>
      <c r="B3" s="13">
        <v>222.4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51" s="5" customFormat="1">
      <c r="A4" s="13" t="s">
        <v>5</v>
      </c>
      <c r="B4" s="13">
        <v>30.24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51" s="5" customFormat="1">
      <c r="A5" s="11" t="s">
        <v>145</v>
      </c>
      <c r="B5" s="11">
        <v>1664.46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</row>
    <row r="6" spans="1:251" s="5" customFormat="1">
      <c r="A6" s="11" t="s">
        <v>78</v>
      </c>
      <c r="B6" s="11">
        <v>80704.44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</row>
    <row r="7" spans="1:251" s="5" customFormat="1">
      <c r="A7" s="11" t="s">
        <v>146</v>
      </c>
      <c r="B7" s="11">
        <v>793.98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</row>
    <row r="8" spans="1:251" s="5" customFormat="1">
      <c r="A8" s="11" t="s">
        <v>57</v>
      </c>
      <c r="B8" s="11">
        <f>B5+B6+B7-B9</f>
        <v>81496.570000000007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51" s="5" customFormat="1">
      <c r="A9" s="11" t="s">
        <v>142</v>
      </c>
      <c r="B9" s="11">
        <v>1666.31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51" s="3" customFormat="1" ht="16.5" customHeight="1">
      <c r="A10" s="22" t="s">
        <v>94</v>
      </c>
      <c r="B10" s="13">
        <f>B8</f>
        <v>81496.570000000007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</row>
    <row r="11" spans="1:251" s="5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51" s="3" customFormat="1">
      <c r="A12" s="13" t="s">
        <v>95</v>
      </c>
      <c r="B12" s="15">
        <f>B14+B17+B18+B19+B21+B22+B23+B15+B16</f>
        <v>80923.169400000013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</row>
    <row r="13" spans="1:251" s="3" customFormat="1">
      <c r="A13" s="11" t="s">
        <v>7</v>
      </c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51" s="3" customFormat="1">
      <c r="A14" s="11" t="s">
        <v>3</v>
      </c>
      <c r="B14" s="12">
        <f>2.74*B3*12*1.2</f>
        <v>8775.0144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51" s="3" customFormat="1">
      <c r="A15" s="11" t="s">
        <v>45</v>
      </c>
      <c r="B15" s="12">
        <f>300*85*1.06*1.3+9*500*1.06*1.3</f>
        <v>41340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251" s="3" customFormat="1">
      <c r="A16" s="11" t="s">
        <v>17</v>
      </c>
      <c r="B16" s="12">
        <f>0.31*B3*12*1.3</f>
        <v>1075.5264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s="3" customFormat="1">
      <c r="A17" s="11" t="s">
        <v>2</v>
      </c>
      <c r="B17" s="12">
        <f>3.44*12*B3</f>
        <v>9180.6720000000005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248" s="3" customFormat="1">
      <c r="A18" s="11" t="s">
        <v>8</v>
      </c>
      <c r="B18" s="12">
        <f>100*20</f>
        <v>2000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s="3" customFormat="1">
      <c r="A19" s="11" t="s">
        <v>63</v>
      </c>
      <c r="B19" s="12">
        <f>0.02*9100*13*1.302*1.3</f>
        <v>4004.6916000000006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</row>
    <row r="20" spans="1:248" s="3" customFormat="1">
      <c r="A20" s="11" t="s">
        <v>10</v>
      </c>
      <c r="B20" s="12">
        <v>60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</row>
    <row r="21" spans="1:248" s="3" customFormat="1">
      <c r="A21" s="11" t="s">
        <v>11</v>
      </c>
      <c r="B21" s="12">
        <f>B20*130*1.302*1.3</f>
        <v>13202.28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</row>
    <row r="22" spans="1:248" s="3" customFormat="1">
      <c r="A22" s="11" t="s">
        <v>147</v>
      </c>
      <c r="B22" s="12">
        <v>793.98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s="3" customFormat="1">
      <c r="A23" s="11" t="s">
        <v>83</v>
      </c>
      <c r="B23" s="12">
        <f>423.85*1.3</f>
        <v>551.005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48" s="3" customFormat="1">
      <c r="A24" s="11" t="s">
        <v>124</v>
      </c>
      <c r="B24" s="12">
        <f>B10-B12</f>
        <v>573.40059999999357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48" s="5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</row>
    <row r="26" spans="1:248" s="3" customFormat="1">
      <c r="A26" s="107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248" s="5" customFormat="1"/>
    <row r="28" spans="1:248" s="5" customFormat="1"/>
    <row r="29" spans="1:248" s="5" customFormat="1"/>
    <row r="30" spans="1:248" s="5" customFormat="1"/>
    <row r="31" spans="1:248" s="5" customFormat="1"/>
    <row r="32" spans="1:248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workbookViewId="0">
      <selection activeCell="A2" sqref="A2:XFD2"/>
    </sheetView>
  </sheetViews>
  <sheetFormatPr defaultRowHeight="15"/>
  <cols>
    <col min="1" max="1" width="76.85546875" customWidth="1"/>
    <col min="2" max="2" width="12.85546875" customWidth="1"/>
  </cols>
  <sheetData>
    <row r="1" spans="1:251" s="14" customFormat="1" ht="40.5" customHeight="1">
      <c r="A1" s="126" t="s">
        <v>160</v>
      </c>
      <c r="B1" s="126"/>
      <c r="IQ1" s="5"/>
    </row>
    <row r="2" spans="1:251" s="111" customFormat="1" ht="43.5" customHeight="1">
      <c r="A2" s="8" t="s">
        <v>183</v>
      </c>
      <c r="B2" s="8" t="s">
        <v>184</v>
      </c>
      <c r="IQ2" s="112"/>
    </row>
    <row r="3" spans="1:251" s="5" customFormat="1">
      <c r="A3" s="97" t="s">
        <v>4</v>
      </c>
      <c r="B3" s="13">
        <v>690.83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1" s="5" customFormat="1">
      <c r="A4" s="97" t="s">
        <v>5</v>
      </c>
      <c r="B4" s="13">
        <v>17.829999999999998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1" s="5" customFormat="1">
      <c r="A5" s="95" t="s">
        <v>77</v>
      </c>
      <c r="B5" s="11">
        <v>11760.87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1" s="5" customFormat="1">
      <c r="A6" s="95" t="s">
        <v>38</v>
      </c>
      <c r="B6" s="11">
        <v>147810.12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</row>
    <row r="7" spans="1:251" s="5" customFormat="1">
      <c r="A7" s="95" t="s">
        <v>6</v>
      </c>
      <c r="B7" s="11">
        <v>2661.9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1" s="5" customFormat="1">
      <c r="A8" s="95" t="s">
        <v>15</v>
      </c>
      <c r="B8" s="11">
        <f>B5+B6+B7-B9</f>
        <v>153403.24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1" s="5" customFormat="1">
      <c r="A9" s="95" t="s">
        <v>100</v>
      </c>
      <c r="B9" s="11">
        <v>8829.65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1" s="5" customFormat="1" ht="19.5" customHeight="1">
      <c r="A10" s="96" t="s">
        <v>42</v>
      </c>
      <c r="B10" s="13">
        <f>B8</f>
        <v>153403.24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1" s="5" customFormat="1">
      <c r="A11" s="70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1" s="3" customFormat="1">
      <c r="A12" s="99" t="s">
        <v>99</v>
      </c>
      <c r="B12" s="15">
        <f>B14+B15+B16+B17+B18+B20+B22+B21+B23</f>
        <v>140164.323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1" s="3" customFormat="1">
      <c r="A13" s="100" t="s">
        <v>7</v>
      </c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</row>
    <row r="14" spans="1:251" s="3" customFormat="1">
      <c r="A14" s="95" t="s">
        <v>3</v>
      </c>
      <c r="B14" s="12">
        <f>2.74*12*B3</f>
        <v>22714.490400000002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1" s="3" customFormat="1">
      <c r="A15" s="95" t="s">
        <v>2</v>
      </c>
      <c r="B15" s="12">
        <f>3.44*B3*12</f>
        <v>28517.462399999997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1" s="3" customFormat="1">
      <c r="A16" s="95" t="s">
        <v>17</v>
      </c>
      <c r="B16" s="12">
        <f>0.31*B3*12</f>
        <v>2569.8876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s="3" customFormat="1">
      <c r="A17" s="100" t="s">
        <v>8</v>
      </c>
      <c r="B17" s="12">
        <f>20*120</f>
        <v>2400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</row>
    <row r="18" spans="1:250" s="3" customFormat="1">
      <c r="A18" s="95" t="s">
        <v>13</v>
      </c>
      <c r="B18" s="12">
        <f>0.01*9100*12*1.302</f>
        <v>1421.7840000000001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s="3" customFormat="1">
      <c r="A19" s="100" t="s">
        <v>10</v>
      </c>
      <c r="B19" s="12">
        <v>75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spans="1:250" s="3" customFormat="1">
      <c r="A20" s="100" t="s">
        <v>11</v>
      </c>
      <c r="B20" s="12">
        <f>B19*130*1.302</f>
        <v>12694.5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</row>
    <row r="21" spans="1:250" s="3" customFormat="1">
      <c r="A21" s="95" t="s">
        <v>39</v>
      </c>
      <c r="B21" s="12">
        <v>7609.14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</row>
    <row r="22" spans="1:250" s="3" customFormat="1">
      <c r="A22" s="95" t="s">
        <v>83</v>
      </c>
      <c r="B22" s="12">
        <f>1920.63*1.5</f>
        <v>2880.9450000000002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3" customFormat="1">
      <c r="A23" s="100" t="s">
        <v>173</v>
      </c>
      <c r="B23" s="12">
        <f>7.16*12*B3</f>
        <v>59356.113600000004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3" customFormat="1">
      <c r="A24" s="100" t="s">
        <v>161</v>
      </c>
      <c r="B24" s="12">
        <f>B10-B12</f>
        <v>13238.916999999987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5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s="5" customFormat="1">
      <c r="A26" s="127" t="s">
        <v>12</v>
      </c>
      <c r="B26" s="1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s="5" customFormat="1"/>
    <row r="28" spans="1:250" s="5" customFormat="1"/>
    <row r="29" spans="1:250" s="5" customFormat="1"/>
    <row r="30" spans="1:250" s="5" customFormat="1"/>
    <row r="31" spans="1:250" s="5" customFormat="1"/>
    <row r="32" spans="1:250" s="5" customFormat="1"/>
  </sheetData>
  <mergeCells count="2">
    <mergeCell ref="A1:B1"/>
    <mergeCell ref="A26:B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R69"/>
  <sheetViews>
    <sheetView workbookViewId="0">
      <selection sqref="A1:XFD2"/>
    </sheetView>
  </sheetViews>
  <sheetFormatPr defaultRowHeight="15"/>
  <cols>
    <col min="1" max="1" width="84.85546875" customWidth="1"/>
    <col min="2" max="2" width="12.7109375" customWidth="1"/>
  </cols>
  <sheetData>
    <row r="1" spans="1:252" s="14" customFormat="1" ht="43.5" customHeight="1">
      <c r="A1" s="126" t="s">
        <v>163</v>
      </c>
      <c r="B1" s="126"/>
      <c r="IR1" s="5"/>
    </row>
    <row r="2" spans="1:252" s="111" customFormat="1" ht="43.5" customHeight="1">
      <c r="A2" s="8" t="s">
        <v>183</v>
      </c>
      <c r="B2" s="8" t="s">
        <v>184</v>
      </c>
      <c r="IQ2" s="112"/>
    </row>
    <row r="3" spans="1:252" s="5" customFormat="1">
      <c r="A3" s="26" t="s">
        <v>4</v>
      </c>
      <c r="B3" s="13">
        <v>2650.06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2" s="5" customFormat="1">
      <c r="A4" s="26" t="s">
        <v>5</v>
      </c>
      <c r="B4" s="13">
        <v>19.16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2" s="3" customFormat="1">
      <c r="A5" s="27" t="s">
        <v>77</v>
      </c>
      <c r="B5" s="11">
        <v>72448.759999999995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2" s="3" customFormat="1">
      <c r="A6" s="27" t="s">
        <v>162</v>
      </c>
      <c r="B6" s="11">
        <v>567584.96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2" s="3" customFormat="1">
      <c r="A7" s="27" t="s">
        <v>52</v>
      </c>
      <c r="B7" s="11">
        <v>182472.62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2" s="3" customFormat="1">
      <c r="A8" s="27" t="s">
        <v>164</v>
      </c>
      <c r="B8" s="11">
        <f>B5+B6+B7-B9</f>
        <v>681393.35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</row>
    <row r="9" spans="1:252" s="3" customFormat="1">
      <c r="A9" s="27" t="s">
        <v>131</v>
      </c>
      <c r="B9" s="11">
        <v>141112.99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</row>
    <row r="10" spans="1:252" s="3" customFormat="1">
      <c r="A10" s="27" t="s">
        <v>166</v>
      </c>
      <c r="B10" s="1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2" s="3" customFormat="1" ht="29.25" customHeight="1">
      <c r="A11" s="82" t="s">
        <v>65</v>
      </c>
      <c r="B11" s="13">
        <f>B8+B9</f>
        <v>822506.34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2" s="3" customFormat="1">
      <c r="A12" s="20"/>
      <c r="B12" s="1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2" s="3" customFormat="1">
      <c r="A13" s="26" t="s">
        <v>99</v>
      </c>
      <c r="B13" s="15">
        <f>B15+B17+B18+B20+B22+B21+B16</f>
        <v>1243389.6221999999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2" s="3" customFormat="1">
      <c r="A14" s="27" t="s">
        <v>7</v>
      </c>
      <c r="B14" s="1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2" s="3" customFormat="1">
      <c r="A15" s="27" t="s">
        <v>3</v>
      </c>
      <c r="B15" s="12">
        <f>2.74*12*B3</f>
        <v>87133.972800000003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52" s="3" customFormat="1">
      <c r="A16" s="27" t="s">
        <v>17</v>
      </c>
      <c r="B16" s="12">
        <f>0.31*12*B3*1.13</f>
        <v>11139.792215999998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3" customFormat="1">
      <c r="A17" s="27" t="s">
        <v>2</v>
      </c>
      <c r="B17" s="12">
        <f>3.44*12*B3*1.13</f>
        <v>123615.75878399999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s="3" customFormat="1">
      <c r="A18" s="27" t="s">
        <v>165</v>
      </c>
      <c r="B18" s="12">
        <f>(1.4*9100*13*1.302+657813/12*3)*1.13</f>
        <v>429502.25369999994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s="3" customFormat="1">
      <c r="A19" s="27" t="s">
        <v>10</v>
      </c>
      <c r="B19" s="12">
        <v>756.5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3" customFormat="1">
      <c r="A20" s="27" t="s">
        <v>11</v>
      </c>
      <c r="B20" s="12">
        <f>B19*130*1.302*1.13</f>
        <v>144691.06469999999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3" customFormat="1">
      <c r="A21" s="27" t="s">
        <v>132</v>
      </c>
      <c r="B21" s="12">
        <v>182472.62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3" customFormat="1">
      <c r="A22" s="27" t="s">
        <v>83</v>
      </c>
      <c r="B22" s="12">
        <v>264834.15999999997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3" customFormat="1">
      <c r="A23" s="42" t="s">
        <v>69</v>
      </c>
      <c r="B23" s="12">
        <f>B11-B13</f>
        <v>-420883.2821999999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51" s="3" customFormat="1">
      <c r="A24" s="44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51" s="3" customFormat="1">
      <c r="A25" s="104" t="s">
        <v>12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:251" s="5" customFormat="1"/>
    <row r="27" spans="1:251" s="5" customFormat="1"/>
    <row r="28" spans="1:251" s="5" customFormat="1"/>
    <row r="29" spans="1:251" s="5" customFormat="1"/>
    <row r="30" spans="1:251">
      <c r="A30" s="5"/>
      <c r="B30" s="5"/>
    </row>
    <row r="31" spans="1:251">
      <c r="A31" s="5"/>
      <c r="B31" s="5"/>
    </row>
    <row r="32" spans="1:251">
      <c r="A32" s="5"/>
      <c r="B32" s="5"/>
    </row>
    <row r="33" spans="1:2">
      <c r="A33" s="5"/>
      <c r="B33" s="5"/>
    </row>
    <row r="34" spans="1:2">
      <c r="A34" s="5"/>
      <c r="B34" s="5"/>
    </row>
    <row r="35" spans="1:2">
      <c r="A35" s="5"/>
      <c r="B35" s="5"/>
    </row>
    <row r="36" spans="1:2">
      <c r="A36" s="5"/>
      <c r="B36" s="5"/>
    </row>
    <row r="37" spans="1:2">
      <c r="A37" s="5"/>
      <c r="B37" s="5"/>
    </row>
    <row r="38" spans="1:2">
      <c r="A38" s="5"/>
      <c r="B38" s="5"/>
    </row>
    <row r="39" spans="1:2">
      <c r="A39" s="5"/>
      <c r="B39" s="5"/>
    </row>
    <row r="40" spans="1:2">
      <c r="A40" s="5"/>
      <c r="B40" s="5"/>
    </row>
    <row r="41" spans="1:2">
      <c r="A41" s="5"/>
      <c r="B41" s="5"/>
    </row>
    <row r="42" spans="1:2">
      <c r="A42" s="5"/>
      <c r="B42" s="5"/>
    </row>
    <row r="43" spans="1:2">
      <c r="A43" s="5"/>
      <c r="B43" s="5"/>
    </row>
    <row r="44" spans="1:2">
      <c r="A44" s="5"/>
      <c r="B44" s="5"/>
    </row>
    <row r="45" spans="1:2">
      <c r="A45" s="5"/>
      <c r="B45" s="5"/>
    </row>
    <row r="46" spans="1:2">
      <c r="A46" s="5"/>
      <c r="B46" s="5"/>
    </row>
    <row r="47" spans="1:2">
      <c r="A47" s="5"/>
      <c r="B47" s="5"/>
    </row>
    <row r="48" spans="1:2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R23"/>
  <sheetViews>
    <sheetView workbookViewId="0">
      <selection activeCell="E11" sqref="E11"/>
    </sheetView>
  </sheetViews>
  <sheetFormatPr defaultRowHeight="15"/>
  <cols>
    <col min="1" max="1" width="74.5703125" customWidth="1"/>
    <col min="2" max="2" width="11.42578125" customWidth="1"/>
  </cols>
  <sheetData>
    <row r="1" spans="1:252" s="14" customFormat="1" ht="48.75" customHeight="1">
      <c r="A1" s="126" t="s">
        <v>195</v>
      </c>
      <c r="B1" s="126"/>
      <c r="IR1" s="5"/>
    </row>
    <row r="2" spans="1:252" s="111" customFormat="1" ht="48.75" customHeight="1">
      <c r="A2" s="8" t="s">
        <v>183</v>
      </c>
      <c r="B2" s="8" t="s">
        <v>184</v>
      </c>
      <c r="IQ2" s="112"/>
    </row>
    <row r="3" spans="1:252" s="3" customFormat="1" ht="15.75" customHeight="1">
      <c r="A3" s="13" t="s">
        <v>4</v>
      </c>
      <c r="B3" s="13">
        <v>710.6</v>
      </c>
    </row>
    <row r="4" spans="1:252" s="3" customFormat="1">
      <c r="A4" s="13" t="s">
        <v>5</v>
      </c>
      <c r="B4" s="13">
        <v>17.829999999999998</v>
      </c>
    </row>
    <row r="5" spans="1:252" s="3" customFormat="1">
      <c r="A5" s="11" t="s">
        <v>108</v>
      </c>
      <c r="B5" s="11">
        <v>12062.8</v>
      </c>
    </row>
    <row r="6" spans="1:252" s="10" customFormat="1" ht="18.75" customHeight="1">
      <c r="A6" s="11" t="s">
        <v>38</v>
      </c>
      <c r="B6" s="12">
        <v>152040.24</v>
      </c>
      <c r="IN6"/>
    </row>
    <row r="7" spans="1:252">
      <c r="A7" s="11" t="s">
        <v>15</v>
      </c>
      <c r="B7" s="12">
        <f>B5+B6-B8</f>
        <v>149888.74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</row>
    <row r="8" spans="1:252">
      <c r="A8" s="11" t="s">
        <v>167</v>
      </c>
      <c r="B8" s="11">
        <v>14214.3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</row>
    <row r="9" spans="1:252" s="3" customFormat="1">
      <c r="A9" s="22" t="s">
        <v>168</v>
      </c>
      <c r="B9" s="15">
        <f>B7</f>
        <v>149888.74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</row>
    <row r="10" spans="1:252" s="3" customFormat="1">
      <c r="A10" s="14"/>
      <c r="B10" s="14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252" s="3" customFormat="1">
      <c r="A11" s="13" t="s">
        <v>169</v>
      </c>
      <c r="B11" s="15">
        <f>B13+B14+B15+B16+B18+B20+B19</f>
        <v>143477.7556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</row>
    <row r="12" spans="1:252" s="3" customFormat="1">
      <c r="A12" s="11" t="s">
        <v>7</v>
      </c>
      <c r="B12" s="1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</row>
    <row r="13" spans="1:252" s="3" customFormat="1" ht="21.75" customHeight="1">
      <c r="A13" s="11" t="s">
        <v>3</v>
      </c>
      <c r="B13" s="12">
        <f>2.74*12*B3</f>
        <v>23364.528000000002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</row>
    <row r="14" spans="1:252">
      <c r="A14" s="11" t="s">
        <v>2</v>
      </c>
      <c r="B14" s="12">
        <f>3.44*B3*7</f>
        <v>17111.248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</row>
    <row r="15" spans="1:252" s="3" customFormat="1">
      <c r="A15" s="11" t="s">
        <v>8</v>
      </c>
      <c r="B15" s="12">
        <f>100*38</f>
        <v>3800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</row>
    <row r="16" spans="1:252" s="3" customFormat="1">
      <c r="A16" s="11" t="s">
        <v>13</v>
      </c>
      <c r="B16" s="12">
        <f>0.02*7600*12*1.302*1.2</f>
        <v>2849.8175999999999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</row>
    <row r="17" spans="1:247" s="3" customFormat="1">
      <c r="A17" s="11" t="s">
        <v>10</v>
      </c>
      <c r="B17" s="21">
        <v>158.5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</row>
    <row r="18" spans="1:247" s="3" customFormat="1">
      <c r="A18" s="11" t="s">
        <v>11</v>
      </c>
      <c r="B18" s="12">
        <f>B17*160*1.302</f>
        <v>33018.720000000001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</row>
    <row r="19" spans="1:247">
      <c r="A19" s="11" t="s">
        <v>1</v>
      </c>
      <c r="B19" s="12">
        <f>7.16*12*B3</f>
        <v>61054.752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</row>
    <row r="20" spans="1:247" s="3" customFormat="1">
      <c r="A20" s="11" t="s">
        <v>170</v>
      </c>
      <c r="B20" s="12">
        <v>2278.69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</row>
    <row r="21" spans="1:247">
      <c r="A21" s="23" t="s">
        <v>124</v>
      </c>
      <c r="B21" s="12">
        <f>B9-B11</f>
        <v>6410.9843999999866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</row>
    <row r="22" spans="1:247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</row>
    <row r="23" spans="1:247" s="3" customFormat="1">
      <c r="A23" s="43" t="s">
        <v>12</v>
      </c>
      <c r="B23" s="1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R42"/>
  <sheetViews>
    <sheetView workbookViewId="0">
      <selection activeCell="G16" sqref="G16"/>
    </sheetView>
  </sheetViews>
  <sheetFormatPr defaultRowHeight="15"/>
  <cols>
    <col min="1" max="1" width="66.7109375" customWidth="1"/>
    <col min="2" max="2" width="22.7109375" hidden="1" customWidth="1"/>
    <col min="3" max="3" width="14" customWidth="1"/>
  </cols>
  <sheetData>
    <row r="1" spans="1:252" s="14" customFormat="1" ht="43.5" customHeight="1">
      <c r="A1" s="128" t="s">
        <v>194</v>
      </c>
      <c r="B1" s="128"/>
      <c r="IP1" s="5"/>
    </row>
    <row r="2" spans="1:252" s="111" customFormat="1" ht="43.5" customHeight="1">
      <c r="A2" s="8" t="s">
        <v>183</v>
      </c>
      <c r="B2" s="8" t="s">
        <v>184</v>
      </c>
      <c r="C2" s="91" t="s">
        <v>184</v>
      </c>
      <c r="IR2" s="112"/>
    </row>
    <row r="3" spans="1:252" s="3" customFormat="1" ht="18.75" customHeight="1">
      <c r="A3" s="117" t="s">
        <v>4</v>
      </c>
      <c r="B3" s="2"/>
      <c r="C3" s="13">
        <v>1064.0999999999999</v>
      </c>
    </row>
    <row r="4" spans="1:252" s="5" customFormat="1">
      <c r="A4" s="117" t="s">
        <v>5</v>
      </c>
      <c r="B4" s="2"/>
      <c r="C4" s="13">
        <v>17.829999999999998</v>
      </c>
    </row>
    <row r="5" spans="1:252" s="5" customFormat="1">
      <c r="A5" s="115" t="s">
        <v>77</v>
      </c>
      <c r="B5" s="2"/>
      <c r="C5" s="11">
        <v>73788.03</v>
      </c>
    </row>
    <row r="6" spans="1:252" s="5" customFormat="1">
      <c r="A6" s="115" t="s">
        <v>38</v>
      </c>
      <c r="B6" s="2"/>
      <c r="C6" s="11">
        <v>227674.92</v>
      </c>
    </row>
    <row r="7" spans="1:252" s="5" customFormat="1">
      <c r="A7" s="115" t="s">
        <v>6</v>
      </c>
      <c r="B7" s="2"/>
      <c r="C7" s="11">
        <v>1715.88</v>
      </c>
    </row>
    <row r="8" spans="1:252" s="5" customFormat="1" ht="18.75" customHeight="1">
      <c r="A8" s="115" t="s">
        <v>15</v>
      </c>
      <c r="B8" s="2"/>
      <c r="C8" s="11">
        <f>C5+C6+C7-C9</f>
        <v>218614.15000000002</v>
      </c>
    </row>
    <row r="9" spans="1:252" s="5" customFormat="1" ht="18.75" customHeight="1">
      <c r="A9" s="115" t="s">
        <v>100</v>
      </c>
      <c r="B9" s="2"/>
      <c r="C9" s="11">
        <v>84564.68</v>
      </c>
    </row>
    <row r="10" spans="1:252" s="5" customFormat="1" ht="18.75" customHeight="1">
      <c r="A10" s="116" t="s">
        <v>42</v>
      </c>
      <c r="B10" s="2"/>
      <c r="C10" s="13">
        <f>C8</f>
        <v>218614.15000000002</v>
      </c>
    </row>
    <row r="11" spans="1:252" s="3" customFormat="1">
      <c r="A11" s="118"/>
      <c r="B11" s="6"/>
      <c r="C11" s="16"/>
    </row>
    <row r="12" spans="1:252">
      <c r="A12" s="117" t="s">
        <v>99</v>
      </c>
      <c r="B12" s="2"/>
      <c r="C12" s="15">
        <f>C14+C15+C16+C17+C18+C20+C22+C21+C23</f>
        <v>241900.47719999996</v>
      </c>
    </row>
    <row r="13" spans="1:252">
      <c r="A13" s="115" t="s">
        <v>7</v>
      </c>
      <c r="B13" s="2"/>
      <c r="C13" s="11"/>
    </row>
    <row r="14" spans="1:252">
      <c r="A14" s="115" t="s">
        <v>3</v>
      </c>
      <c r="B14" s="2"/>
      <c r="C14" s="12">
        <f>2.74*12*C3</f>
        <v>34987.608</v>
      </c>
    </row>
    <row r="15" spans="1:252" s="14" customFormat="1" ht="40.5" customHeight="1">
      <c r="A15" s="115" t="s">
        <v>2</v>
      </c>
      <c r="B15" s="2"/>
      <c r="C15" s="12">
        <f>3.44*C3*12</f>
        <v>43926.047999999995</v>
      </c>
      <c r="IR15" s="5"/>
    </row>
    <row r="16" spans="1:252" s="14" customFormat="1" ht="48" customHeight="1">
      <c r="A16" s="115" t="s">
        <v>17</v>
      </c>
      <c r="B16" s="2"/>
      <c r="C16" s="12">
        <f>0.31*C3*12</f>
        <v>3958.4519999999998</v>
      </c>
      <c r="IR16" s="5"/>
    </row>
    <row r="17" spans="1:251" s="5" customFormat="1">
      <c r="A17" s="115" t="s">
        <v>8</v>
      </c>
      <c r="B17" s="2"/>
      <c r="C17" s="12">
        <f>40*70*1.8</f>
        <v>5040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s="5" customFormat="1">
      <c r="A18" s="115" t="s">
        <v>13</v>
      </c>
      <c r="B18" s="2"/>
      <c r="C18" s="12">
        <f>0.01*9100*12*1.302*1.8</f>
        <v>2559.2112000000002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s="3" customFormat="1">
      <c r="A19" s="115" t="s">
        <v>10</v>
      </c>
      <c r="B19" s="2"/>
      <c r="C19" s="12">
        <v>156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3" customFormat="1">
      <c r="A20" s="115" t="s">
        <v>11</v>
      </c>
      <c r="B20" s="2"/>
      <c r="C20" s="12">
        <f>C19*110*1.302*1.8</f>
        <v>40216.175999999999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3" customFormat="1">
      <c r="A21" s="115" t="s">
        <v>39</v>
      </c>
      <c r="B21" s="2"/>
      <c r="C21" s="12">
        <v>17517.18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3" customFormat="1">
      <c r="A22" s="115" t="s">
        <v>83</v>
      </c>
      <c r="B22" s="2"/>
      <c r="C22" s="12">
        <v>2268.33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3" customFormat="1">
      <c r="A23" s="115" t="s">
        <v>1</v>
      </c>
      <c r="B23" s="2"/>
      <c r="C23" s="12">
        <f>7.16*12*C3</f>
        <v>91427.471999999994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s="3" customFormat="1" ht="21" customHeight="1">
      <c r="A24" s="115" t="s">
        <v>124</v>
      </c>
      <c r="B24" s="2"/>
      <c r="C24" s="12">
        <f>C10-C12</f>
        <v>-23286.327199999942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s="5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s="3" customFormat="1">
      <c r="A26" s="119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  <row r="27" spans="1:251" s="3" customFormat="1">
      <c r="A27" s="5"/>
      <c r="B27" s="5"/>
      <c r="C27" s="5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</row>
    <row r="28" spans="1:251" s="3" customFormat="1">
      <c r="A28" s="5"/>
      <c r="B28" s="39" t="e">
        <f>#REF!+C12</f>
        <v>#REF!</v>
      </c>
      <c r="C28" s="5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251" s="3" customFormat="1">
      <c r="A29"/>
      <c r="B29" t="e">
        <f>B28/C12</f>
        <v>#REF!</v>
      </c>
      <c r="C2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</row>
    <row r="30" spans="1:251" s="3" customFormat="1">
      <c r="A30"/>
      <c r="B30"/>
      <c r="C3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</row>
    <row r="31" spans="1:251" s="3" customFormat="1">
      <c r="A31"/>
      <c r="B31"/>
      <c r="C31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</row>
    <row r="32" spans="1:251" s="5" customFormat="1">
      <c r="A32"/>
      <c r="B32"/>
      <c r="C3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</row>
    <row r="33" spans="1:251" s="5" customFormat="1">
      <c r="A33"/>
      <c r="B33"/>
      <c r="C3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</row>
    <row r="34" spans="1:251" s="3" customFormat="1">
      <c r="A34"/>
      <c r="B34"/>
      <c r="C3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</row>
    <row r="35" spans="1:251" s="3" customFormat="1">
      <c r="A35"/>
      <c r="B35"/>
      <c r="C35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</row>
    <row r="36" spans="1:251" s="3" customFormat="1">
      <c r="A36"/>
      <c r="B36"/>
      <c r="C36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</row>
    <row r="37" spans="1:251" s="3" customFormat="1">
      <c r="A37"/>
      <c r="B37"/>
      <c r="C3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</row>
    <row r="38" spans="1:251" s="5" customFormat="1">
      <c r="A38"/>
      <c r="B38"/>
      <c r="C38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</row>
    <row r="39" spans="1:251" s="5" customFormat="1">
      <c r="A39"/>
      <c r="B39"/>
      <c r="C39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</row>
    <row r="40" spans="1:251" s="5" customFormat="1">
      <c r="A40"/>
      <c r="B40"/>
      <c r="C40"/>
    </row>
    <row r="41" spans="1:251" s="5" customFormat="1">
      <c r="A41"/>
      <c r="B41"/>
      <c r="C41"/>
    </row>
    <row r="42" spans="1:251" s="5" customFormat="1">
      <c r="A42"/>
      <c r="B42"/>
      <c r="C4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R31"/>
  <sheetViews>
    <sheetView workbookViewId="0">
      <selection activeCell="A3" sqref="A3:XFD3"/>
    </sheetView>
  </sheetViews>
  <sheetFormatPr defaultRowHeight="15"/>
  <cols>
    <col min="1" max="1" width="73.85546875" customWidth="1"/>
    <col min="2" max="2" width="0.42578125" hidden="1" customWidth="1"/>
    <col min="3" max="3" width="10.42578125" customWidth="1"/>
  </cols>
  <sheetData>
    <row r="1" spans="1:252" s="5" customFormat="1">
      <c r="A1" s="7"/>
    </row>
    <row r="2" spans="1:252" s="14" customFormat="1" ht="40.5" customHeight="1">
      <c r="A2" s="128" t="s">
        <v>123</v>
      </c>
      <c r="B2" s="128"/>
      <c r="C2" s="128"/>
      <c r="IR2" s="5"/>
    </row>
    <row r="3" spans="1:252" s="111" customFormat="1" ht="43.5" customHeight="1">
      <c r="A3" s="8" t="s">
        <v>183</v>
      </c>
      <c r="B3" s="8" t="s">
        <v>184</v>
      </c>
      <c r="C3" s="91" t="s">
        <v>184</v>
      </c>
      <c r="IQ3" s="112"/>
    </row>
    <row r="4" spans="1:252" s="5" customFormat="1">
      <c r="A4" s="92" t="s">
        <v>4</v>
      </c>
      <c r="B4" s="3"/>
      <c r="C4" s="13">
        <v>571.01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2" s="5" customFormat="1">
      <c r="A5" s="92" t="s">
        <v>5</v>
      </c>
      <c r="B5" s="3"/>
      <c r="C5" s="13">
        <v>17.829999999999998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2" s="3" customFormat="1">
      <c r="A6" s="93" t="s">
        <v>77</v>
      </c>
      <c r="C6" s="11">
        <v>81375.839999999997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2" s="3" customFormat="1">
      <c r="A7" s="93" t="s">
        <v>38</v>
      </c>
      <c r="C7" s="11">
        <v>122173.32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</row>
    <row r="8" spans="1:252" s="5" customFormat="1">
      <c r="A8" s="93" t="s">
        <v>86</v>
      </c>
      <c r="B8" s="3"/>
      <c r="C8" s="11">
        <v>6855.49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2" s="5" customFormat="1">
      <c r="A9" s="93" t="s">
        <v>43</v>
      </c>
      <c r="B9" s="3"/>
      <c r="C9" s="11">
        <v>9282.6299999999992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2" s="3" customFormat="1">
      <c r="A10" s="93" t="s">
        <v>15</v>
      </c>
      <c r="C10" s="11">
        <v>95911.37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</row>
    <row r="11" spans="1:252" s="3" customFormat="1">
      <c r="A11" s="93" t="s">
        <v>100</v>
      </c>
      <c r="C11" s="11">
        <v>113181.87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</row>
    <row r="12" spans="1:252" s="3" customFormat="1" ht="18" customHeight="1">
      <c r="A12" s="94" t="s">
        <v>42</v>
      </c>
      <c r="C12" s="13">
        <f>C10</f>
        <v>95911.37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</row>
    <row r="13" spans="1:252" s="5" customFormat="1">
      <c r="A13" s="71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2" s="5" customFormat="1">
      <c r="A14" s="92" t="s">
        <v>99</v>
      </c>
      <c r="B14" s="3"/>
      <c r="C14" s="15">
        <f>C16+C17+C18+C20+C21+C23+C25+C19+C24+C26</f>
        <v>125888.482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2" s="5" customFormat="1">
      <c r="A15" s="93" t="s">
        <v>7</v>
      </c>
      <c r="B15" s="3"/>
      <c r="C15" s="1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2" s="3" customFormat="1">
      <c r="A16" s="93" t="s">
        <v>3</v>
      </c>
      <c r="C16" s="12">
        <f>2.74*C4*12</f>
        <v>18774.808800000003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3" customFormat="1">
      <c r="A17" s="93" t="s">
        <v>2</v>
      </c>
      <c r="C17" s="12">
        <f>3.44*12*C4</f>
        <v>23571.292799999999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s="3" customFormat="1">
      <c r="A18" s="93" t="s">
        <v>17</v>
      </c>
      <c r="C18" s="12">
        <f>0.31*12*C4</f>
        <v>2124.1571999999996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s="3" customFormat="1">
      <c r="A19" s="93" t="s">
        <v>16</v>
      </c>
      <c r="C19" s="12">
        <f>1800*2*1.7</f>
        <v>6120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3" customFormat="1">
      <c r="A20" s="93" t="s">
        <v>8</v>
      </c>
      <c r="C20" s="12">
        <f>40*70</f>
        <v>2800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3" customFormat="1">
      <c r="A21" s="93" t="s">
        <v>13</v>
      </c>
      <c r="C21" s="12">
        <f>0.01*9100*12*1.302</f>
        <v>1421.7840000000001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3" customFormat="1">
      <c r="A22" s="93" t="s">
        <v>10</v>
      </c>
      <c r="C22" s="12">
        <v>98.5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3" customFormat="1">
      <c r="A23" s="93" t="s">
        <v>11</v>
      </c>
      <c r="C23" s="12">
        <f>C22*110*1.302</f>
        <v>14107.17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</row>
    <row r="24" spans="1:251" s="3" customFormat="1">
      <c r="A24" s="93" t="s">
        <v>48</v>
      </c>
      <c r="C24" s="12">
        <v>6855.49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 s="3" customFormat="1">
      <c r="A25" s="93" t="s">
        <v>83</v>
      </c>
      <c r="C25" s="12">
        <v>1052.5999999999999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</row>
    <row r="26" spans="1:251" s="3" customFormat="1">
      <c r="A26" s="93" t="s">
        <v>1</v>
      </c>
      <c r="C26" s="12">
        <f>C4*7.16*12</f>
        <v>49061.179199999999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</row>
    <row r="27" spans="1:251" s="3" customFormat="1">
      <c r="A27" s="93" t="s">
        <v>87</v>
      </c>
      <c r="C27" s="12">
        <v>7934.89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</row>
    <row r="28" spans="1:251" s="3" customFormat="1">
      <c r="A28" s="93" t="s">
        <v>124</v>
      </c>
      <c r="C28" s="12">
        <f>C12-C14-C27</f>
        <v>-37912.002000000008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</row>
    <row r="29" spans="1:251" s="5" customForma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0" spans="1:251" s="3" customFormat="1">
      <c r="A30" s="107" t="s">
        <v>12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</row>
    <row r="31" spans="1:251" s="5" customFormat="1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31"/>
  <sheetViews>
    <sheetView workbookViewId="0">
      <selection activeCell="F4" sqref="F4"/>
    </sheetView>
  </sheetViews>
  <sheetFormatPr defaultRowHeight="15"/>
  <cols>
    <col min="1" max="1" width="74" customWidth="1"/>
    <col min="2" max="2" width="11.5703125" customWidth="1"/>
    <col min="3" max="3" width="0.140625" customWidth="1"/>
  </cols>
  <sheetData>
    <row r="1" spans="1:250" s="4" customFormat="1" ht="16.5" customHeight="1">
      <c r="A1" s="63"/>
    </row>
    <row r="2" spans="1:250" s="14" customFormat="1" ht="43.5" customHeight="1">
      <c r="A2" s="126" t="s">
        <v>125</v>
      </c>
      <c r="B2" s="126"/>
      <c r="C2" s="126"/>
      <c r="IP2" s="5"/>
    </row>
    <row r="3" spans="1:250" s="14" customFormat="1" ht="47.25" customHeight="1">
      <c r="A3" s="106" t="s">
        <v>182</v>
      </c>
      <c r="B3" s="110" t="s">
        <v>184</v>
      </c>
      <c r="C3" s="34" t="s">
        <v>41</v>
      </c>
      <c r="IP3" s="5"/>
    </row>
    <row r="4" spans="1:250" s="5" customFormat="1">
      <c r="A4" s="67" t="s">
        <v>85</v>
      </c>
      <c r="B4" s="35">
        <v>1236.4000000000001</v>
      </c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</row>
    <row r="5" spans="1:250" s="3" customFormat="1">
      <c r="A5" s="67" t="s">
        <v>5</v>
      </c>
      <c r="B5" s="33">
        <v>30.24</v>
      </c>
      <c r="C5" s="11" t="e">
        <f>C16+C18+C19+#REF!+C20+C21+C23+C25+#REF!</f>
        <v>#REF!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</row>
    <row r="6" spans="1:250" s="3" customFormat="1">
      <c r="A6" s="65" t="s">
        <v>77</v>
      </c>
      <c r="B6" s="32">
        <v>82158</v>
      </c>
      <c r="C6" s="1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</row>
    <row r="7" spans="1:250" s="3" customFormat="1">
      <c r="A7" s="65" t="s">
        <v>38</v>
      </c>
      <c r="B7" s="32">
        <v>448664.76</v>
      </c>
      <c r="C7" s="1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</row>
    <row r="8" spans="1:250" s="3" customFormat="1">
      <c r="A8" s="65" t="s">
        <v>86</v>
      </c>
      <c r="B8" s="32">
        <v>2840.64</v>
      </c>
      <c r="C8" s="1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:250" s="3" customFormat="1">
      <c r="A9" s="93" t="s">
        <v>126</v>
      </c>
      <c r="B9" s="32">
        <v>90918</v>
      </c>
      <c r="C9" s="1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50" s="3" customFormat="1">
      <c r="A10" s="65" t="s">
        <v>15</v>
      </c>
      <c r="B10" s="32">
        <v>502291.31</v>
      </c>
      <c r="C10" s="1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</row>
    <row r="11" spans="1:250" s="3" customFormat="1">
      <c r="A11" s="93" t="s">
        <v>100</v>
      </c>
      <c r="B11" s="32">
        <v>122290.09</v>
      </c>
      <c r="C11" s="11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250" s="3" customFormat="1" ht="16.5" customHeight="1">
      <c r="A12" s="66" t="s">
        <v>42</v>
      </c>
      <c r="B12" s="33">
        <f>B10</f>
        <v>502291.31</v>
      </c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</row>
    <row r="13" spans="1:250" s="5" customFormat="1">
      <c r="A13" s="30"/>
      <c r="B13" s="14"/>
      <c r="C13" s="16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</row>
    <row r="14" spans="1:250" s="5" customFormat="1">
      <c r="A14" s="92" t="s">
        <v>127</v>
      </c>
      <c r="B14" s="37">
        <f>B16+B18+B19+B20+B21+B23+B25+B24+B17+B26</f>
        <v>626450.82121999993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</row>
    <row r="15" spans="1:250" s="5" customFormat="1">
      <c r="A15" s="65" t="s">
        <v>7</v>
      </c>
      <c r="B15" s="32"/>
      <c r="C15" s="1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</row>
    <row r="16" spans="1:250" s="3" customFormat="1">
      <c r="A16" s="65" t="s">
        <v>3</v>
      </c>
      <c r="B16" s="31">
        <f>2.74*B4*12*1.19</f>
        <v>48376.870080000001</v>
      </c>
      <c r="C16" s="11">
        <f>ROUND(B16/B4/12,2)</f>
        <v>3.26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</row>
    <row r="17" spans="1:249" s="3" customFormat="1">
      <c r="A17" s="65" t="s">
        <v>45</v>
      </c>
      <c r="B17" s="31">
        <f>741*300*1.06*1.19+28*500*1.06*1.19</f>
        <v>298068.81999999995</v>
      </c>
      <c r="C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</row>
    <row r="18" spans="1:249" s="3" customFormat="1">
      <c r="A18" s="65" t="s">
        <v>2</v>
      </c>
      <c r="B18" s="31">
        <f>3.44*B4*12</f>
        <v>51038.592000000004</v>
      </c>
      <c r="C18" s="11">
        <f>ROUND(B18/B4/12,2)</f>
        <v>3.44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</row>
    <row r="19" spans="1:249" s="3" customFormat="1">
      <c r="A19" s="65" t="s">
        <v>17</v>
      </c>
      <c r="B19" s="31">
        <f>0.31*B4*12*1.19</f>
        <v>5473.2955200000006</v>
      </c>
      <c r="C19" s="11">
        <f>ROUND(B19/B4/12,2)</f>
        <v>0.37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</row>
    <row r="20" spans="1:249" s="3" customFormat="1">
      <c r="A20" s="65" t="s">
        <v>8</v>
      </c>
      <c r="B20" s="31">
        <f>106*70*1.19</f>
        <v>8829.7999999999993</v>
      </c>
      <c r="C20" s="11">
        <f>ROUND(B20/B4/12,2)</f>
        <v>0.6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</row>
    <row r="21" spans="1:249" s="3" customFormat="1">
      <c r="A21" s="65" t="s">
        <v>46</v>
      </c>
      <c r="B21" s="31">
        <f>0.25*9100*12*1.302*1.19*1.13</f>
        <v>47796.823619999988</v>
      </c>
      <c r="C21" s="11">
        <f>ROUND(B21/B4/12,2)</f>
        <v>3.22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</row>
    <row r="22" spans="1:249" s="3" customFormat="1">
      <c r="A22" s="65" t="s">
        <v>10</v>
      </c>
      <c r="B22" s="31">
        <v>350</v>
      </c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</row>
    <row r="23" spans="1:249" s="3" customFormat="1">
      <c r="A23" s="65" t="s">
        <v>11</v>
      </c>
      <c r="B23" s="31">
        <f>B22*110*1.302*1.19</f>
        <v>59651.13</v>
      </c>
      <c r="C23" s="11">
        <f>ROUND(B23/B4/12,2)</f>
        <v>4.0199999999999996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</row>
    <row r="24" spans="1:249" s="3" customFormat="1">
      <c r="A24" s="65" t="s">
        <v>48</v>
      </c>
      <c r="B24" s="31">
        <v>2840.64</v>
      </c>
      <c r="C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</row>
    <row r="25" spans="1:249" s="3" customFormat="1">
      <c r="A25" s="93" t="s">
        <v>128</v>
      </c>
      <c r="B25" s="31">
        <v>13456.85</v>
      </c>
      <c r="C25" s="11">
        <f>ROUND(B25/B4/12,2)</f>
        <v>0.91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</row>
    <row r="26" spans="1:249" s="3" customFormat="1">
      <c r="A26" s="93" t="s">
        <v>126</v>
      </c>
      <c r="B26" s="31">
        <v>90918</v>
      </c>
      <c r="C26" s="11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</row>
    <row r="27" spans="1:249" s="5" customFormat="1">
      <c r="A27" s="93" t="s">
        <v>124</v>
      </c>
      <c r="B27" s="31">
        <f>B12-B14</f>
        <v>-124159.51121999993</v>
      </c>
      <c r="C27" s="1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</row>
    <row r="28" spans="1:249" s="5" customFormat="1">
      <c r="A28" s="20"/>
      <c r="B28" s="20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</row>
    <row r="29" spans="1:249" s="5" customFormat="1">
      <c r="A29" s="38" t="s">
        <v>12</v>
      </c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</row>
    <row r="30" spans="1:249" s="5" customFormat="1"/>
    <row r="31" spans="1:249" s="5" customFormat="1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7"/>
  <sheetViews>
    <sheetView tabSelected="1" workbookViewId="0">
      <selection activeCell="A27" sqref="A27:XFD27"/>
    </sheetView>
  </sheetViews>
  <sheetFormatPr defaultRowHeight="15"/>
  <cols>
    <col min="1" max="1" width="85.7109375" customWidth="1"/>
    <col min="2" max="2" width="10.85546875" customWidth="1"/>
  </cols>
  <sheetData>
    <row r="1" spans="1:248" s="14" customFormat="1" ht="43.5" customHeight="1">
      <c r="A1" s="108" t="s">
        <v>107</v>
      </c>
      <c r="B1" s="113"/>
      <c r="IJ1" s="5"/>
    </row>
    <row r="2" spans="1:248" s="111" customFormat="1" ht="43.5" customHeight="1">
      <c r="A2" s="8" t="s">
        <v>183</v>
      </c>
      <c r="B2" s="8" t="s">
        <v>184</v>
      </c>
      <c r="IN2" s="112"/>
    </row>
    <row r="3" spans="1:248" s="5" customFormat="1">
      <c r="A3" s="79" t="s">
        <v>14</v>
      </c>
      <c r="B3" s="79">
        <v>1256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8" s="5" customFormat="1">
      <c r="A4" s="13" t="s">
        <v>5</v>
      </c>
      <c r="B4" s="13">
        <v>17.829999999999998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</row>
    <row r="5" spans="1:248" s="3" customFormat="1">
      <c r="A5" s="11" t="s">
        <v>108</v>
      </c>
      <c r="B5" s="11">
        <v>101767.05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</row>
    <row r="6" spans="1:248" s="3" customFormat="1">
      <c r="A6" s="11" t="s">
        <v>44</v>
      </c>
      <c r="B6" s="12">
        <v>268734.24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</row>
    <row r="7" spans="1:248" s="5" customFormat="1">
      <c r="A7" s="11" t="s">
        <v>110</v>
      </c>
      <c r="B7" s="12">
        <f>4739.84+4903.62</f>
        <v>9643.4599999999991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8" s="5" customFormat="1">
      <c r="A8" s="11" t="s">
        <v>15</v>
      </c>
      <c r="B8" s="12">
        <v>267207.17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8" s="5" customFormat="1">
      <c r="A9" s="11" t="s">
        <v>109</v>
      </c>
      <c r="B9" s="11">
        <v>113395.27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8" s="5" customFormat="1" ht="15" customHeight="1">
      <c r="A10" s="22" t="s">
        <v>49</v>
      </c>
      <c r="B10" s="15">
        <f>B8</f>
        <v>267207.17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8" s="5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8" s="5" customFormat="1">
      <c r="A12" s="13" t="s">
        <v>50</v>
      </c>
      <c r="B12" s="15">
        <f>B15+B17+B18+B19+B21+B22+B14+B23+B16</f>
        <v>275446.16560000001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8" s="5" customFormat="1">
      <c r="A13" s="11" t="s">
        <v>7</v>
      </c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8" s="3" customFormat="1">
      <c r="A14" s="11" t="s">
        <v>111</v>
      </c>
      <c r="B14" s="11">
        <f>(25444.29+4739.84)</f>
        <v>30184.13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</row>
    <row r="15" spans="1:248" s="3" customFormat="1">
      <c r="A15" s="11" t="s">
        <v>3</v>
      </c>
      <c r="B15" s="12">
        <f>2.74*12*B3</f>
        <v>41297.280000000006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</row>
    <row r="16" spans="1:248" s="3" customFormat="1">
      <c r="A16" s="11" t="s">
        <v>17</v>
      </c>
      <c r="B16" s="12">
        <f>0.31*12*B3</f>
        <v>4672.32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</row>
    <row r="17" spans="1:243" s="3" customFormat="1">
      <c r="A17" s="11" t="s">
        <v>2</v>
      </c>
      <c r="B17" s="12">
        <f>3.34*B3*12</f>
        <v>50340.479999999996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</row>
    <row r="18" spans="1:243" s="3" customFormat="1">
      <c r="A18" s="11" t="s">
        <v>8</v>
      </c>
      <c r="B18" s="12">
        <v>4200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</row>
    <row r="19" spans="1:243" s="3" customFormat="1">
      <c r="A19" s="11" t="s">
        <v>13</v>
      </c>
      <c r="B19" s="12">
        <f>0.02*9100*12*1.302*1.7</f>
        <v>4834.0655999999999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</row>
    <row r="20" spans="1:243" s="3" customFormat="1">
      <c r="A20" s="11" t="s">
        <v>10</v>
      </c>
      <c r="B20" s="21">
        <v>189.5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</row>
    <row r="21" spans="1:243" s="3" customFormat="1">
      <c r="A21" s="11" t="s">
        <v>11</v>
      </c>
      <c r="B21" s="12">
        <f>B20*130*1.302</f>
        <v>32074.77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</row>
    <row r="22" spans="1:243" s="3" customFormat="1">
      <c r="A22" s="11" t="s">
        <v>83</v>
      </c>
      <c r="B22" s="12">
        <f>2339.12</f>
        <v>2339.12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</row>
    <row r="23" spans="1:243" s="3" customFormat="1">
      <c r="A23" s="11" t="s">
        <v>112</v>
      </c>
      <c r="B23" s="12">
        <f>7*12*B3</f>
        <v>105504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</row>
    <row r="24" spans="1:243" s="3" customFormat="1">
      <c r="A24" s="11" t="s">
        <v>114</v>
      </c>
      <c r="B24" s="12">
        <v>13385.07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</row>
    <row r="25" spans="1:243" s="5" customFormat="1">
      <c r="A25" s="23" t="s">
        <v>113</v>
      </c>
      <c r="B25" s="12">
        <f>B10-B12+B24</f>
        <v>5146.0743999999759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s="5" customForma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s="5" customFormat="1">
      <c r="A27" s="90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</sheetData>
  <pageMargins left="0.31496062992125984" right="0.31496062992125984" top="0.74803149606299213" bottom="0.74803149606299213" header="0.31496062992125984" footer="0.31496062992125984"/>
  <pageSetup paperSize="9" scale="88" fitToWidth="2" fitToHeight="2" orientation="portrait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Q28"/>
  <sheetViews>
    <sheetView workbookViewId="0">
      <selection activeCell="A28" sqref="A28:XFD28"/>
    </sheetView>
  </sheetViews>
  <sheetFormatPr defaultRowHeight="15"/>
  <cols>
    <col min="1" max="1" width="74.140625" customWidth="1"/>
    <col min="2" max="2" width="12.5703125" customWidth="1"/>
  </cols>
  <sheetData>
    <row r="1" spans="1:251" s="10" customFormat="1" ht="43.5" customHeight="1">
      <c r="A1" s="126" t="s">
        <v>118</v>
      </c>
      <c r="B1" s="126"/>
      <c r="C1" s="14"/>
      <c r="IQ1"/>
    </row>
    <row r="2" spans="1:251" s="111" customFormat="1" ht="43.5" customHeight="1">
      <c r="A2" s="8" t="s">
        <v>183</v>
      </c>
      <c r="B2" s="8" t="s">
        <v>184</v>
      </c>
      <c r="IM2" s="112"/>
    </row>
    <row r="3" spans="1:251" s="3" customFormat="1" ht="24" customHeight="1">
      <c r="A3" s="92" t="s">
        <v>14</v>
      </c>
      <c r="B3" s="13">
        <v>1018.8</v>
      </c>
      <c r="C3" s="1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</row>
    <row r="4" spans="1:251" s="3" customFormat="1">
      <c r="A4" s="92" t="s">
        <v>5</v>
      </c>
      <c r="B4" s="13">
        <v>17.829999999999998</v>
      </c>
      <c r="C4" s="14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</row>
    <row r="5" spans="1:251" s="3" customFormat="1">
      <c r="A5" s="93" t="s">
        <v>77</v>
      </c>
      <c r="B5" s="11">
        <v>0</v>
      </c>
      <c r="C5" s="14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</row>
    <row r="6" spans="1:251" s="3" customFormat="1">
      <c r="A6" s="93" t="s">
        <v>38</v>
      </c>
      <c r="B6" s="11">
        <v>110245.96</v>
      </c>
      <c r="C6" s="14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</row>
    <row r="7" spans="1:251" s="3" customFormat="1">
      <c r="A7" s="93" t="s">
        <v>6</v>
      </c>
      <c r="B7" s="11">
        <v>6701.82</v>
      </c>
      <c r="C7" s="14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</row>
    <row r="8" spans="1:251" s="3" customFormat="1">
      <c r="A8" s="93" t="s">
        <v>115</v>
      </c>
      <c r="B8" s="11">
        <v>26257.19</v>
      </c>
      <c r="C8" s="14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</row>
    <row r="9" spans="1:251" s="3" customFormat="1">
      <c r="A9" s="93" t="s">
        <v>15</v>
      </c>
      <c r="B9" s="11">
        <v>81297.08</v>
      </c>
      <c r="C9" s="14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51" s="3" customFormat="1">
      <c r="A10" s="93" t="s">
        <v>100</v>
      </c>
      <c r="B10" s="11">
        <v>60016</v>
      </c>
      <c r="C10" s="1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</row>
    <row r="11" spans="1:251" s="3" customFormat="1" ht="24.75" customHeight="1">
      <c r="A11" s="94" t="s">
        <v>42</v>
      </c>
      <c r="B11" s="13">
        <f>B9</f>
        <v>81297.08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251">
      <c r="A12" s="30"/>
      <c r="B12" s="16"/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51" s="3" customFormat="1">
      <c r="A13" s="92" t="s">
        <v>99</v>
      </c>
      <c r="B13" s="15">
        <f>B15+B16+B17+B18+B19+B21+B24+B22+B23</f>
        <v>92595.254000000001</v>
      </c>
      <c r="C13" s="1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51" s="3" customFormat="1">
      <c r="A14" s="93" t="s">
        <v>7</v>
      </c>
      <c r="B14" s="11"/>
      <c r="C14" s="1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</row>
    <row r="15" spans="1:251" s="3" customFormat="1">
      <c r="A15" s="93" t="s">
        <v>3</v>
      </c>
      <c r="B15" s="12">
        <f>2.74*B3*6</f>
        <v>16749.072</v>
      </c>
      <c r="C15" s="14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  <row r="16" spans="1:251" s="3" customFormat="1">
      <c r="A16" s="93" t="s">
        <v>2</v>
      </c>
      <c r="B16" s="12">
        <f>3.44*6*B3</f>
        <v>21028.031999999999</v>
      </c>
      <c r="C16" s="14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</row>
    <row r="17" spans="1:249" s="3" customFormat="1">
      <c r="A17" s="93" t="s">
        <v>17</v>
      </c>
      <c r="B17" s="12">
        <f>0.31*6*B3</f>
        <v>1894.9679999999998</v>
      </c>
      <c r="C17" s="14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</row>
    <row r="18" spans="1:249" s="3" customFormat="1">
      <c r="A18" s="93" t="s">
        <v>8</v>
      </c>
      <c r="B18" s="12">
        <f>20*70*1.7</f>
        <v>2380</v>
      </c>
      <c r="C18" s="1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</row>
    <row r="19" spans="1:249" s="3" customFormat="1">
      <c r="A19" s="93" t="s">
        <v>13</v>
      </c>
      <c r="B19" s="12">
        <f>0.01*9100*6*1.302</f>
        <v>710.89200000000005</v>
      </c>
      <c r="C19" s="14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</row>
    <row r="20" spans="1:249" s="3" customFormat="1">
      <c r="A20" s="93" t="s">
        <v>10</v>
      </c>
      <c r="B20" s="12">
        <v>68</v>
      </c>
      <c r="C20" s="14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</row>
    <row r="21" spans="1:249" s="3" customFormat="1">
      <c r="A21" s="93" t="s">
        <v>11</v>
      </c>
      <c r="B21" s="12">
        <f>B20*110*1.302</f>
        <v>9738.9600000000009</v>
      </c>
      <c r="C21" s="14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</row>
    <row r="22" spans="1:249" s="3" customFormat="1">
      <c r="A22" s="93" t="s">
        <v>39</v>
      </c>
      <c r="B22" s="12">
        <v>13044.74</v>
      </c>
      <c r="C22" s="14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</row>
    <row r="23" spans="1:249" s="3" customFormat="1">
      <c r="A23" s="93" t="s">
        <v>116</v>
      </c>
      <c r="B23" s="12">
        <v>26257.19</v>
      </c>
      <c r="C23" s="14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</row>
    <row r="24" spans="1:249" s="3" customFormat="1">
      <c r="A24" s="93" t="s">
        <v>83</v>
      </c>
      <c r="B24" s="12">
        <v>791.4</v>
      </c>
      <c r="C24" s="14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</row>
    <row r="25" spans="1:249" s="3" customFormat="1">
      <c r="A25" s="93" t="s">
        <v>1</v>
      </c>
      <c r="B25" s="12">
        <f>7.16*6*B3</f>
        <v>43767.648000000001</v>
      </c>
      <c r="C25" s="1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</row>
    <row r="26" spans="1:249" s="3" customFormat="1">
      <c r="A26" s="93" t="s">
        <v>117</v>
      </c>
      <c r="B26" s="12">
        <f>B11-B13</f>
        <v>-11298.173999999999</v>
      </c>
      <c r="C26" s="1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</row>
    <row r="27" spans="1:249">
      <c r="A27" s="5"/>
      <c r="B27" s="5"/>
      <c r="C27" s="5"/>
    </row>
    <row r="28" spans="1:249" s="5" customFormat="1">
      <c r="A28" s="107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O28"/>
  <sheetViews>
    <sheetView workbookViewId="0">
      <selection activeCell="A2" sqref="A2:XFD2"/>
    </sheetView>
  </sheetViews>
  <sheetFormatPr defaultRowHeight="15"/>
  <cols>
    <col min="1" max="1" width="74.140625" customWidth="1"/>
    <col min="2" max="2" width="11.85546875" customWidth="1"/>
  </cols>
  <sheetData>
    <row r="1" spans="1:249" s="14" customFormat="1" ht="43.5" customHeight="1">
      <c r="A1" s="126" t="s">
        <v>119</v>
      </c>
      <c r="B1" s="126"/>
      <c r="IO1" s="5"/>
    </row>
    <row r="2" spans="1:249" s="111" customFormat="1" ht="43.5" customHeight="1">
      <c r="A2" s="8" t="s">
        <v>183</v>
      </c>
      <c r="B2" s="8" t="s">
        <v>184</v>
      </c>
      <c r="IM2" s="112"/>
    </row>
    <row r="3" spans="1:249" s="5" customFormat="1" ht="24" customHeight="1">
      <c r="A3" s="92" t="s">
        <v>14</v>
      </c>
      <c r="B3" s="13">
        <v>1599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</row>
    <row r="4" spans="1:249" s="5" customFormat="1">
      <c r="A4" s="92" t="s">
        <v>5</v>
      </c>
      <c r="B4" s="13">
        <v>17.829999999999998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9" s="5" customFormat="1">
      <c r="A5" s="98" t="s">
        <v>77</v>
      </c>
      <c r="B5" s="114">
        <v>93774.32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9" s="5" customFormat="1">
      <c r="A6" s="93" t="s">
        <v>38</v>
      </c>
      <c r="B6" s="11">
        <v>342122.4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9" s="5" customFormat="1">
      <c r="A7" s="93" t="s">
        <v>6</v>
      </c>
      <c r="B7" s="11">
        <v>6028.68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9" s="5" customFormat="1">
      <c r="A8" s="93" t="s">
        <v>120</v>
      </c>
      <c r="B8" s="11">
        <v>3936.8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9" s="5" customFormat="1">
      <c r="A9" s="93" t="s">
        <v>100</v>
      </c>
      <c r="B9" s="11">
        <v>67977.149999999994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9" s="5" customFormat="1" ht="21" customHeight="1">
      <c r="A10" s="94" t="s">
        <v>42</v>
      </c>
      <c r="B10" s="13">
        <f>(B6+B7+B8)*0.9</f>
        <v>316879.092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9" s="5" customFormat="1">
      <c r="A11" s="69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9" s="5" customFormat="1">
      <c r="A12" s="102" t="s">
        <v>99</v>
      </c>
      <c r="B12" s="15">
        <f>B14+B15+B16+B17+B18+B20+B24+B21+B22+B23</f>
        <v>352689.98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9" s="5" customFormat="1">
      <c r="A13" s="93" t="s">
        <v>7</v>
      </c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9" s="5" customFormat="1">
      <c r="A14" s="93" t="s">
        <v>3</v>
      </c>
      <c r="B14" s="12">
        <f>2.74*12*B3</f>
        <v>52575.12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9" s="5" customFormat="1">
      <c r="A15" s="93" t="s">
        <v>2</v>
      </c>
      <c r="B15" s="12">
        <f>3.44*12*B3</f>
        <v>66006.720000000001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9" s="5" customFormat="1">
      <c r="A16" s="93" t="s">
        <v>17</v>
      </c>
      <c r="B16" s="12">
        <f>0.31*12*B3</f>
        <v>5948.28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s="5" customFormat="1">
      <c r="A17" s="93" t="s">
        <v>8</v>
      </c>
      <c r="B17" s="12">
        <f>55*70*1.7</f>
        <v>6545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s="5" customFormat="1">
      <c r="A18" s="93" t="s">
        <v>13</v>
      </c>
      <c r="B18" s="12">
        <v>6154.2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s="5" customFormat="1">
      <c r="A19" s="93" t="s">
        <v>10</v>
      </c>
      <c r="B19" s="12">
        <v>205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s="5" customFormat="1">
      <c r="A20" s="93" t="s">
        <v>11</v>
      </c>
      <c r="B20" s="12">
        <f>B19*130*1.302</f>
        <v>34698.300000000003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s="5" customFormat="1">
      <c r="A21" s="93" t="s">
        <v>39</v>
      </c>
      <c r="B21" s="12">
        <v>18366.23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s="5" customFormat="1">
      <c r="A22" s="93" t="s">
        <v>122</v>
      </c>
      <c r="B22" s="12">
        <v>3936.8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s="5" customFormat="1">
      <c r="A23" s="93" t="s">
        <v>1</v>
      </c>
      <c r="B23" s="12">
        <f>7.16*12*B3</f>
        <v>137386.08000000002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s="5" customFormat="1">
      <c r="A24" s="93" t="s">
        <v>83</v>
      </c>
      <c r="B24" s="12">
        <v>21073.25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s="3" customFormat="1">
      <c r="A25" s="93" t="s">
        <v>121</v>
      </c>
      <c r="B25" s="12">
        <f>B10-B12</f>
        <v>-35810.887999999977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</row>
    <row r="26" spans="1:247" s="5" customFormat="1"/>
    <row r="27" spans="1:247" s="5" customFormat="1">
      <c r="A27" s="107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7">
      <c r="D28" t="s">
        <v>176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workbookViewId="0">
      <selection activeCell="A2" sqref="A2:XFD2"/>
    </sheetView>
  </sheetViews>
  <sheetFormatPr defaultRowHeight="15"/>
  <cols>
    <col min="1" max="1" width="93" customWidth="1"/>
    <col min="2" max="2" width="15.7109375" customWidth="1"/>
  </cols>
  <sheetData>
    <row r="1" spans="1:252" s="10" customFormat="1" ht="43.5" customHeight="1">
      <c r="A1" s="126" t="s">
        <v>138</v>
      </c>
      <c r="B1" s="126"/>
      <c r="C1" s="14"/>
      <c r="D1" s="14"/>
      <c r="IR1"/>
    </row>
    <row r="2" spans="1:252" s="111" customFormat="1" ht="43.5" customHeight="1">
      <c r="A2" s="8" t="s">
        <v>183</v>
      </c>
      <c r="B2" s="8" t="s">
        <v>184</v>
      </c>
      <c r="IM2" s="112"/>
    </row>
    <row r="3" spans="1:252">
      <c r="A3" s="26" t="s">
        <v>4</v>
      </c>
      <c r="B3" s="13">
        <v>2360.1</v>
      </c>
      <c r="C3" s="14"/>
      <c r="D3" s="14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</row>
    <row r="4" spans="1:252">
      <c r="A4" s="26" t="s">
        <v>5</v>
      </c>
      <c r="B4" s="13">
        <v>19.16</v>
      </c>
      <c r="C4" s="14"/>
      <c r="D4" s="14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2">
      <c r="A5" s="27" t="s">
        <v>77</v>
      </c>
      <c r="B5" s="11">
        <v>199640.26</v>
      </c>
      <c r="C5" s="14"/>
      <c r="D5" s="1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2">
      <c r="A6" s="27" t="s">
        <v>38</v>
      </c>
      <c r="B6" s="11">
        <v>542651.72</v>
      </c>
      <c r="C6" s="14"/>
      <c r="D6" s="14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252">
      <c r="A7" s="27" t="s">
        <v>81</v>
      </c>
      <c r="B7" s="11">
        <v>33986.14</v>
      </c>
      <c r="C7" s="14"/>
      <c r="D7" s="1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</row>
    <row r="8" spans="1:252">
      <c r="A8" s="27" t="s">
        <v>130</v>
      </c>
      <c r="B8" s="11">
        <f>B5+B6+B7-B9</f>
        <v>497583.39</v>
      </c>
      <c r="C8" s="14"/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</row>
    <row r="9" spans="1:252">
      <c r="A9" s="27" t="s">
        <v>131</v>
      </c>
      <c r="B9" s="11">
        <v>278694.73</v>
      </c>
      <c r="C9" s="14"/>
      <c r="D9" s="14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</row>
    <row r="10" spans="1:252" ht="29.25" customHeight="1">
      <c r="A10" s="82" t="s">
        <v>65</v>
      </c>
      <c r="B10" s="13">
        <f>B8</f>
        <v>497583.39</v>
      </c>
      <c r="C10" s="14"/>
      <c r="D10" s="14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</row>
    <row r="11" spans="1:252">
      <c r="A11" s="14"/>
      <c r="B11" s="16"/>
      <c r="C11" s="14"/>
      <c r="D11" s="14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</row>
    <row r="12" spans="1:252">
      <c r="A12" s="26" t="s">
        <v>89</v>
      </c>
      <c r="B12" s="15">
        <f>B14+B16+B17+B19+B21+B20+B15</f>
        <v>569675.88000000012</v>
      </c>
      <c r="C12" s="14"/>
      <c r="D12" s="14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</row>
    <row r="13" spans="1:252">
      <c r="A13" s="27" t="s">
        <v>7</v>
      </c>
      <c r="B13" s="11"/>
      <c r="C13" s="14"/>
      <c r="D13" s="14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</row>
    <row r="14" spans="1:252" s="3" customFormat="1">
      <c r="A14" s="27" t="s">
        <v>3</v>
      </c>
      <c r="B14" s="12">
        <f>B3*2.74*12*1.2</f>
        <v>93120.105599999995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2" s="3" customFormat="1">
      <c r="A15" s="27" t="s">
        <v>17</v>
      </c>
      <c r="B15" s="12">
        <f>0.31*12*B3*1.2</f>
        <v>10535.486399999998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52" s="3" customFormat="1">
      <c r="A16" s="27" t="s">
        <v>2</v>
      </c>
      <c r="B16" s="12">
        <f>3.44*12*B3</f>
        <v>97424.928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3" customFormat="1">
      <c r="A17" s="27" t="s">
        <v>9</v>
      </c>
      <c r="B17" s="12">
        <f>0.9*9100*13*1.302*1.5</f>
        <v>207935.91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>
      <c r="A18" s="27" t="s">
        <v>10</v>
      </c>
      <c r="B18" s="12">
        <v>455</v>
      </c>
      <c r="C18" s="14"/>
      <c r="D18" s="1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51">
      <c r="A19" s="27" t="s">
        <v>11</v>
      </c>
      <c r="B19" s="12">
        <f>B18*130*1.302*1.5</f>
        <v>115519.95000000001</v>
      </c>
      <c r="C19" s="14"/>
      <c r="D19" s="14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</row>
    <row r="20" spans="1:251" s="3" customFormat="1">
      <c r="A20" s="27" t="s">
        <v>132</v>
      </c>
      <c r="B20" s="12">
        <v>33986.14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3" customFormat="1">
      <c r="A21" s="27" t="s">
        <v>83</v>
      </c>
      <c r="B21" s="12">
        <v>11153.36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5" customFormat="1">
      <c r="A22" s="42" t="s">
        <v>69</v>
      </c>
      <c r="B22" s="12">
        <f>B10-B12</f>
        <v>-72092.490000000107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</row>
    <row r="23" spans="1:251" s="5" customFormat="1">
      <c r="A23" s="62"/>
      <c r="B23" s="68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</row>
    <row r="24" spans="1:251" s="3" customFormat="1">
      <c r="A24" s="107" t="s">
        <v>12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</row>
    <row r="25" spans="1:251">
      <c r="A25" s="5"/>
      <c r="B25" s="5"/>
      <c r="C25" s="5"/>
      <c r="D25" s="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11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5"/>
  <sheetViews>
    <sheetView workbookViewId="0">
      <selection activeCell="A2" sqref="A2:XFD2"/>
    </sheetView>
  </sheetViews>
  <sheetFormatPr defaultRowHeight="15"/>
  <cols>
    <col min="1" max="1" width="85.140625" customWidth="1"/>
    <col min="2" max="2" width="10.85546875" customWidth="1"/>
  </cols>
  <sheetData>
    <row r="1" spans="1:252" s="14" customFormat="1" ht="43.5" customHeight="1">
      <c r="A1" s="126" t="s">
        <v>140</v>
      </c>
      <c r="B1" s="126"/>
      <c r="IR1" s="5"/>
    </row>
    <row r="2" spans="1:252" s="111" customFormat="1" ht="43.5" customHeight="1">
      <c r="A2" s="8" t="s">
        <v>183</v>
      </c>
      <c r="B2" s="8" t="s">
        <v>184</v>
      </c>
      <c r="IM2" s="112"/>
    </row>
    <row r="3" spans="1:252" s="5" customFormat="1">
      <c r="A3" s="26" t="s">
        <v>4</v>
      </c>
      <c r="B3" s="13">
        <v>3235.95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</row>
    <row r="4" spans="1:252" s="5" customFormat="1">
      <c r="A4" s="26" t="s">
        <v>5</v>
      </c>
      <c r="B4" s="13">
        <v>19.16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2" s="3" customFormat="1">
      <c r="A5" s="27" t="s">
        <v>77</v>
      </c>
      <c r="B5" s="11">
        <v>210278.04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</row>
    <row r="6" spans="1:252" s="3" customFormat="1">
      <c r="A6" s="27" t="s">
        <v>38</v>
      </c>
      <c r="B6" s="11">
        <v>744008.64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</row>
    <row r="7" spans="1:252" s="5" customFormat="1">
      <c r="A7" s="27" t="s">
        <v>81</v>
      </c>
      <c r="B7" s="11">
        <v>78921.91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2" s="5" customFormat="1">
      <c r="A8" s="27" t="s">
        <v>130</v>
      </c>
      <c r="B8" s="11">
        <f>B5+B6+B7-B9</f>
        <v>786040.87000000011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2" s="5" customFormat="1">
      <c r="A9" s="27" t="s">
        <v>131</v>
      </c>
      <c r="B9" s="11">
        <v>247167.72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2" s="5" customFormat="1" ht="20.25" customHeight="1">
      <c r="A10" s="82" t="s">
        <v>65</v>
      </c>
      <c r="B10" s="13">
        <f>B8</f>
        <v>786040.87000000011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2" s="5" customFormat="1" ht="17.25" customHeight="1">
      <c r="A11" s="14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2" s="5" customFormat="1">
      <c r="A12" s="26" t="s">
        <v>99</v>
      </c>
      <c r="B12" s="15">
        <f>B14+B16+B17+B19+B22+B20+B15+B21</f>
        <v>838482.35400000005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2" s="3" customFormat="1">
      <c r="A13" s="27" t="s">
        <v>7</v>
      </c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</row>
    <row r="14" spans="1:252" s="3" customFormat="1">
      <c r="A14" s="27" t="s">
        <v>3</v>
      </c>
      <c r="B14" s="12">
        <f>2.74*12*B3</f>
        <v>106398.03600000001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</row>
    <row r="15" spans="1:252" s="3" customFormat="1">
      <c r="A15" s="27" t="s">
        <v>17</v>
      </c>
      <c r="B15" s="12">
        <f>0.31*12*B3</f>
        <v>12037.733999999999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</row>
    <row r="16" spans="1:252" s="3" customFormat="1">
      <c r="A16" s="27" t="s">
        <v>2</v>
      </c>
      <c r="B16" s="12">
        <f>3.44*12*B3*1.4</f>
        <v>187012.02239999999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</row>
    <row r="17" spans="1:251" s="3" customFormat="1">
      <c r="A17" s="27" t="s">
        <v>9</v>
      </c>
      <c r="B17" s="12">
        <f>0.9*9100*13*1.302*1.4</f>
        <v>194073.516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</row>
    <row r="18" spans="1:251" s="3" customFormat="1">
      <c r="A18" s="27" t="s">
        <v>10</v>
      </c>
      <c r="B18" s="12">
        <v>830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</row>
    <row r="19" spans="1:251" s="3" customFormat="1">
      <c r="A19" s="27" t="s">
        <v>11</v>
      </c>
      <c r="B19" s="12">
        <f>B18*130*1.302*1.4*1.13</f>
        <v>222248.5356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3" customFormat="1">
      <c r="A20" s="27" t="s">
        <v>132</v>
      </c>
      <c r="B20" s="12">
        <v>78921.91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3" customFormat="1">
      <c r="A21" s="27" t="s">
        <v>180</v>
      </c>
      <c r="B21" s="12">
        <f>2300*12</f>
        <v>27600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3" customFormat="1">
      <c r="A22" s="27" t="s">
        <v>83</v>
      </c>
      <c r="B22" s="12">
        <f>7279*1.4</f>
        <v>10190.599999999999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3" customFormat="1">
      <c r="A23" s="42" t="s">
        <v>124</v>
      </c>
      <c r="B23" s="12">
        <f>B10-B12</f>
        <v>-52441.483999999939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51" s="5" customFormat="1">
      <c r="A24" s="62"/>
      <c r="B24" s="6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51" s="5" customFormat="1">
      <c r="A25" s="101" t="s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3" fitToHeight="5" orientation="portrait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P30"/>
  <sheetViews>
    <sheetView workbookViewId="0">
      <selection activeCell="A3" sqref="A3:XFD3"/>
    </sheetView>
  </sheetViews>
  <sheetFormatPr defaultRowHeight="15"/>
  <cols>
    <col min="1" max="1" width="87.85546875" customWidth="1"/>
    <col min="2" max="2" width="11.7109375" customWidth="1"/>
  </cols>
  <sheetData>
    <row r="1" spans="1:250">
      <c r="A1" s="7"/>
      <c r="B1" s="5"/>
      <c r="C1" s="5"/>
    </row>
    <row r="2" spans="1:250" s="10" customFormat="1" ht="38.25" customHeight="1">
      <c r="A2" s="131" t="s">
        <v>129</v>
      </c>
      <c r="B2" s="131"/>
      <c r="C2" s="14"/>
      <c r="IP2"/>
    </row>
    <row r="3" spans="1:250" s="111" customFormat="1" ht="43.5" customHeight="1">
      <c r="A3" s="8" t="s">
        <v>183</v>
      </c>
      <c r="B3" s="8" t="s">
        <v>184</v>
      </c>
      <c r="IM3" s="112"/>
    </row>
    <row r="4" spans="1:250">
      <c r="A4" s="26" t="s">
        <v>4</v>
      </c>
      <c r="B4" s="13">
        <v>2341.1</v>
      </c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50">
      <c r="A5" s="26" t="s">
        <v>5</v>
      </c>
      <c r="B5" s="13"/>
      <c r="C5" s="1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50">
      <c r="A6" s="27" t="s">
        <v>77</v>
      </c>
      <c r="B6" s="11">
        <v>785464.02</v>
      </c>
      <c r="C6" s="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50">
      <c r="A7" s="27" t="s">
        <v>67</v>
      </c>
      <c r="B7" s="11">
        <f>230129.79+538467.22</f>
        <v>768597.01</v>
      </c>
      <c r="C7" s="1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50">
      <c r="A8" s="27" t="s">
        <v>81</v>
      </c>
      <c r="B8" s="11">
        <v>94684.38</v>
      </c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50">
      <c r="A9" s="27" t="s">
        <v>130</v>
      </c>
      <c r="B9" s="11">
        <v>758062.65</v>
      </c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50">
      <c r="A10" s="27" t="s">
        <v>131</v>
      </c>
      <c r="B10" s="11">
        <v>894882.97</v>
      </c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50" s="3" customFormat="1" ht="29.25" customHeight="1">
      <c r="A11" s="82" t="s">
        <v>65</v>
      </c>
      <c r="B11" s="13">
        <f>B9</f>
        <v>758062.65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</row>
    <row r="12" spans="1:250">
      <c r="A12" s="14"/>
      <c r="B12" s="16"/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50" s="3" customFormat="1">
      <c r="A13" s="26" t="s">
        <v>89</v>
      </c>
      <c r="B13" s="15">
        <f>B15+B17+B18+B19+B21+B23+B22+B16</f>
        <v>973973.72799999989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50">
      <c r="A14" s="27" t="s">
        <v>7</v>
      </c>
      <c r="B14" s="16"/>
      <c r="C14" s="14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50" s="3" customFormat="1">
      <c r="A15" s="27" t="s">
        <v>3</v>
      </c>
      <c r="B15" s="12">
        <f>2.74*12*B4*1.13</f>
        <v>86982.165840000001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</row>
    <row r="16" spans="1:250" s="3" customFormat="1">
      <c r="A16" s="27" t="s">
        <v>17</v>
      </c>
      <c r="B16" s="12">
        <f>0.31*12*B4*1.13</f>
        <v>9841.0479599999981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</row>
    <row r="17" spans="1:249" s="3" customFormat="1">
      <c r="A17" s="27" t="s">
        <v>2</v>
      </c>
      <c r="B17" s="12">
        <f>3.44*12*B4</f>
        <v>96640.607999999993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</row>
    <row r="18" spans="1:249" s="3" customFormat="1">
      <c r="A18" s="27" t="s">
        <v>179</v>
      </c>
      <c r="B18" s="12">
        <f>2300*12</f>
        <v>27600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</row>
    <row r="19" spans="1:249" s="3" customFormat="1">
      <c r="A19" s="27" t="s">
        <v>68</v>
      </c>
      <c r="B19" s="12">
        <f>(1.4*9100*13*1.302+657813/3)*1.13</f>
        <v>491446.31119999994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</row>
    <row r="20" spans="1:249" s="3" customFormat="1">
      <c r="A20" s="27" t="s">
        <v>10</v>
      </c>
      <c r="B20" s="12">
        <v>588.5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</row>
    <row r="21" spans="1:249" s="3" customFormat="1">
      <c r="A21" s="27" t="s">
        <v>11</v>
      </c>
      <c r="B21" s="12">
        <f>B20*130*1.302*1.5</f>
        <v>149414.26500000001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</row>
    <row r="22" spans="1:249" s="3" customFormat="1">
      <c r="A22" s="27" t="s">
        <v>132</v>
      </c>
      <c r="B22" s="12">
        <v>94684.38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</row>
    <row r="23" spans="1:249" s="3" customFormat="1">
      <c r="A23" s="27" t="s">
        <v>83</v>
      </c>
      <c r="B23" s="12">
        <v>17364.95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</row>
    <row r="24" spans="1:249" s="5" customFormat="1">
      <c r="A24" s="42" t="s">
        <v>133</v>
      </c>
      <c r="B24" s="12">
        <f>B11-B13</f>
        <v>-215911.07799999986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</row>
    <row r="25" spans="1:249" s="5" customFormat="1">
      <c r="A25" s="62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</row>
    <row r="26" spans="1:249" s="3" customFormat="1">
      <c r="A26" s="107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</row>
    <row r="27" spans="1:249">
      <c r="A27" s="5"/>
      <c r="B27" s="5"/>
      <c r="C27" s="5"/>
    </row>
    <row r="28" spans="1:249">
      <c r="A28" s="5"/>
      <c r="B28" s="5"/>
      <c r="C28" s="5"/>
    </row>
    <row r="29" spans="1:249">
      <c r="A29" s="5"/>
      <c r="B29" s="5"/>
      <c r="C29" s="5"/>
    </row>
    <row r="30" spans="1:249">
      <c r="A30" s="5"/>
      <c r="B30" s="5"/>
      <c r="C30" s="5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Q70"/>
  <sheetViews>
    <sheetView workbookViewId="0">
      <selection activeCell="A3" sqref="A3:XFD3"/>
    </sheetView>
  </sheetViews>
  <sheetFormatPr defaultRowHeight="15"/>
  <cols>
    <col min="1" max="1" width="84.85546875" customWidth="1"/>
    <col min="2" max="2" width="12.7109375" customWidth="1"/>
  </cols>
  <sheetData>
    <row r="1" spans="1:251" s="5" customFormat="1">
      <c r="A1" s="7"/>
      <c r="D1" s="3"/>
    </row>
    <row r="2" spans="1:251" s="14" customFormat="1" ht="43.5" customHeight="1">
      <c r="A2" s="126" t="s">
        <v>134</v>
      </c>
      <c r="B2" s="126"/>
      <c r="D2" s="3"/>
      <c r="IQ2" s="5"/>
    </row>
    <row r="3" spans="1:251" s="111" customFormat="1" ht="43.5" customHeight="1">
      <c r="A3" s="8" t="s">
        <v>183</v>
      </c>
      <c r="B3" s="8" t="s">
        <v>184</v>
      </c>
      <c r="IM3" s="112"/>
    </row>
    <row r="4" spans="1:251" s="5" customFormat="1">
      <c r="A4" s="26" t="s">
        <v>4</v>
      </c>
      <c r="B4" s="13">
        <v>2338.1999999999998</v>
      </c>
      <c r="C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</row>
    <row r="5" spans="1:251" s="5" customFormat="1">
      <c r="A5" s="26" t="s">
        <v>5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</row>
    <row r="6" spans="1:251" s="3" customFormat="1">
      <c r="A6" s="27" t="s">
        <v>77</v>
      </c>
      <c r="B6" s="11">
        <v>745277.72</v>
      </c>
      <c r="C6" s="20"/>
      <c r="D6" s="1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1" s="5" customFormat="1">
      <c r="A7" s="27" t="s">
        <v>67</v>
      </c>
      <c r="B7" s="11">
        <f>538367.93+232520.28</f>
        <v>770888.21000000008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</row>
    <row r="8" spans="1:251" s="5" customFormat="1">
      <c r="A8" s="27" t="s">
        <v>81</v>
      </c>
      <c r="B8" s="11">
        <v>81137.58</v>
      </c>
      <c r="C8" s="14"/>
      <c r="D8" s="2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</row>
    <row r="9" spans="1:251" s="5" customFormat="1">
      <c r="A9" s="27" t="s">
        <v>130</v>
      </c>
      <c r="B9" s="11">
        <f>B6+B7+B8-B10</f>
        <v>768793.7100000002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</row>
    <row r="10" spans="1:251" s="5" customFormat="1">
      <c r="A10" s="27" t="s">
        <v>131</v>
      </c>
      <c r="B10" s="11">
        <v>828509.8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</row>
    <row r="11" spans="1:251" s="5" customFormat="1" ht="29.25" customHeight="1">
      <c r="A11" s="82" t="s">
        <v>65</v>
      </c>
      <c r="B11" s="13">
        <f>B9</f>
        <v>768793.7100000002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1" s="5" customFormat="1">
      <c r="A12" s="20"/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1" s="5" customFormat="1">
      <c r="A13" s="26" t="s">
        <v>89</v>
      </c>
      <c r="B13" s="15">
        <f>B15+B17+B18+B19+B21+B23+B22+B16</f>
        <v>1004313.94543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1" s="5" customFormat="1">
      <c r="A14" s="27" t="s">
        <v>7</v>
      </c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1" s="5" customFormat="1">
      <c r="A15" s="27" t="s">
        <v>3</v>
      </c>
      <c r="B15" s="12">
        <f>2.74*12*B4*1.13</f>
        <v>86874.418079999989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1" s="5" customFormat="1">
      <c r="A16" s="27" t="s">
        <v>17</v>
      </c>
      <c r="B16" s="12">
        <f>0.31*12*B4*1.13</f>
        <v>9828.8575199999977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s="5" customFormat="1">
      <c r="A17" s="27" t="s">
        <v>2</v>
      </c>
      <c r="B17" s="12">
        <f>3.44*12*B4*1.13</f>
        <v>109068.61247999998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s="5" customFormat="1">
      <c r="A18" s="27" t="s">
        <v>178</v>
      </c>
      <c r="B18" s="12">
        <f>2300*12</f>
        <v>27600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s="5" customFormat="1">
      <c r="A19" s="27" t="s">
        <v>68</v>
      </c>
      <c r="B19" s="12">
        <f>(1.4*9100*13*1.302+657813/3)*1.13</f>
        <v>491446.31119999994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s="5" customFormat="1">
      <c r="A20" s="27" t="s">
        <v>10</v>
      </c>
      <c r="B20" s="12">
        <v>629.25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s="5" customFormat="1">
      <c r="A21" s="27" t="s">
        <v>11</v>
      </c>
      <c r="B21" s="12">
        <f>B20*130*1.302*1.13</f>
        <v>120352.74615000001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s="3" customFormat="1">
      <c r="A22" s="27" t="s">
        <v>132</v>
      </c>
      <c r="B22" s="12">
        <v>81137.58</v>
      </c>
      <c r="C22" s="20"/>
      <c r="D22" s="1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3" customFormat="1">
      <c r="A23" s="27" t="s">
        <v>83</v>
      </c>
      <c r="B23" s="12">
        <v>78005.42</v>
      </c>
      <c r="C23" s="20"/>
      <c r="D23" s="14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3" customFormat="1">
      <c r="A24" s="42" t="s">
        <v>124</v>
      </c>
      <c r="B24" s="12">
        <f>B11-B13</f>
        <v>-235520.23542999977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</row>
    <row r="25" spans="1:250" s="5" customFormat="1">
      <c r="A25" s="62"/>
      <c r="B25" s="14"/>
      <c r="C25" s="14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50" s="3" customFormat="1">
      <c r="A26" s="107" t="s">
        <v>12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5" customFormat="1">
      <c r="D27" s="14"/>
    </row>
    <row r="28" spans="1:250">
      <c r="D28" s="5"/>
    </row>
    <row r="29" spans="1:250">
      <c r="D29" s="5"/>
    </row>
    <row r="30" spans="1:250">
      <c r="A30" s="5"/>
      <c r="B30" s="5"/>
    </row>
    <row r="31" spans="1:250">
      <c r="A31" s="5"/>
      <c r="B31" s="5"/>
    </row>
    <row r="32" spans="1:250">
      <c r="A32" s="5"/>
      <c r="B32" s="5"/>
    </row>
    <row r="33" spans="1:2">
      <c r="A33" s="5"/>
      <c r="B33" s="5"/>
    </row>
    <row r="34" spans="1:2">
      <c r="A34" s="5"/>
      <c r="B34" s="5"/>
    </row>
    <row r="35" spans="1:2">
      <c r="A35" s="5"/>
      <c r="B35" s="5"/>
    </row>
    <row r="36" spans="1:2">
      <c r="A36" s="5"/>
      <c r="B36" s="5"/>
    </row>
    <row r="37" spans="1:2">
      <c r="A37" s="5"/>
      <c r="B37" s="5"/>
    </row>
    <row r="38" spans="1:2">
      <c r="A38" s="5"/>
      <c r="B38" s="5"/>
    </row>
    <row r="39" spans="1:2">
      <c r="A39" s="5"/>
      <c r="B39" s="5"/>
    </row>
    <row r="40" spans="1:2">
      <c r="A40" s="5"/>
      <c r="B40" s="5"/>
    </row>
    <row r="41" spans="1:2">
      <c r="A41" s="5"/>
      <c r="B41" s="5"/>
    </row>
    <row r="42" spans="1:2">
      <c r="A42" s="5"/>
      <c r="B42" s="5"/>
    </row>
    <row r="43" spans="1:2">
      <c r="A43" s="5"/>
      <c r="B43" s="5"/>
    </row>
    <row r="44" spans="1:2">
      <c r="A44" s="5"/>
      <c r="B44" s="5"/>
    </row>
    <row r="45" spans="1:2">
      <c r="A45" s="5"/>
      <c r="B45" s="5"/>
    </row>
    <row r="46" spans="1:2">
      <c r="A46" s="5"/>
      <c r="B46" s="5"/>
    </row>
    <row r="47" spans="1:2">
      <c r="A47" s="5"/>
      <c r="B47" s="5"/>
    </row>
    <row r="48" spans="1:2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A54" s="5"/>
      <c r="B54" s="5"/>
    </row>
    <row r="55" spans="1:2">
      <c r="A55" s="5"/>
      <c r="B55" s="5"/>
    </row>
    <row r="56" spans="1:2">
      <c r="A56" s="5"/>
      <c r="B56" s="5"/>
    </row>
    <row r="57" spans="1:2">
      <c r="A57" s="5"/>
      <c r="B57" s="5"/>
    </row>
    <row r="58" spans="1:2">
      <c r="A58" s="5"/>
      <c r="B58" s="5"/>
    </row>
    <row r="59" spans="1:2">
      <c r="A59" s="5"/>
      <c r="B59" s="5"/>
    </row>
    <row r="60" spans="1:2">
      <c r="A60" s="5"/>
      <c r="B60" s="5"/>
    </row>
    <row r="61" spans="1:2">
      <c r="A61" s="5"/>
      <c r="B61" s="5"/>
    </row>
    <row r="62" spans="1:2">
      <c r="A62" s="5"/>
      <c r="B62" s="5"/>
    </row>
    <row r="63" spans="1:2">
      <c r="A63" s="5"/>
      <c r="B63" s="5"/>
    </row>
    <row r="64" spans="1:2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workbookViewId="0">
      <selection activeCell="A2" sqref="A2:XFD2"/>
    </sheetView>
  </sheetViews>
  <sheetFormatPr defaultRowHeight="15"/>
  <cols>
    <col min="1" max="1" width="87.85546875" customWidth="1"/>
    <col min="2" max="2" width="16.28515625" customWidth="1"/>
  </cols>
  <sheetData>
    <row r="1" spans="1:253" s="14" customFormat="1" ht="43.5" customHeight="1">
      <c r="A1" s="126" t="s">
        <v>135</v>
      </c>
      <c r="B1" s="126"/>
      <c r="IS1" s="5"/>
    </row>
    <row r="2" spans="1:253" s="111" customFormat="1" ht="43.5" customHeight="1">
      <c r="A2" s="8" t="s">
        <v>183</v>
      </c>
      <c r="B2" s="8" t="s">
        <v>184</v>
      </c>
      <c r="IM2" s="112"/>
    </row>
    <row r="3" spans="1:253" s="5" customFormat="1">
      <c r="A3" s="26" t="s">
        <v>4</v>
      </c>
      <c r="B3" s="13">
        <v>2637.5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253" s="5" customFormat="1">
      <c r="A4" s="26" t="s">
        <v>5</v>
      </c>
      <c r="B4" s="13">
        <v>19.16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3" s="5" customFormat="1">
      <c r="A5" s="27" t="s">
        <v>77</v>
      </c>
      <c r="B5" s="11">
        <v>208814.17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3" s="5" customFormat="1">
      <c r="A6" s="27" t="s">
        <v>38</v>
      </c>
      <c r="B6" s="11">
        <v>606337.96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3" s="5" customFormat="1">
      <c r="A7" s="27" t="s">
        <v>52</v>
      </c>
      <c r="B7" s="11">
        <f>12584.95+10854.14</f>
        <v>23439.09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3" s="5" customFormat="1">
      <c r="A8" s="27" t="s">
        <v>130</v>
      </c>
      <c r="B8" s="11">
        <v>595280.81000000006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3" s="5" customFormat="1">
      <c r="A9" s="27" t="s">
        <v>51</v>
      </c>
      <c r="B9" s="11">
        <v>242500.15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3" s="5" customFormat="1" ht="18.75" customHeight="1">
      <c r="A10" s="82" t="s">
        <v>65</v>
      </c>
      <c r="B10" s="13">
        <f>B8</f>
        <v>595280.81000000006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3" s="5" customFormat="1">
      <c r="A11" s="14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3" s="3" customFormat="1">
      <c r="A12" s="26" t="s">
        <v>99</v>
      </c>
      <c r="B12" s="15">
        <f>B14+B16+B17+B18+B20+B22+B21+B15</f>
        <v>614118.17100000009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</row>
    <row r="13" spans="1:253" s="3" customFormat="1">
      <c r="A13" s="27" t="s">
        <v>7</v>
      </c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3" s="3" customFormat="1">
      <c r="A14" s="27" t="s">
        <v>3</v>
      </c>
      <c r="B14" s="12">
        <f>2.74*12*B3*1.3</f>
        <v>112737.3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3" s="3" customFormat="1">
      <c r="A15" s="27" t="s">
        <v>17</v>
      </c>
      <c r="B15" s="12">
        <f>0.31*12*B3*1.2</f>
        <v>11773.8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3" s="3" customFormat="1">
      <c r="A16" s="27" t="s">
        <v>2</v>
      </c>
      <c r="B16" s="12">
        <f>3.44*12*B3*1.2</f>
        <v>130651.2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3" customFormat="1">
      <c r="A17" s="27" t="s">
        <v>177</v>
      </c>
      <c r="B17" s="12">
        <f>2300*12</f>
        <v>27600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3" customFormat="1">
      <c r="A18" s="27" t="s">
        <v>9</v>
      </c>
      <c r="B18" s="12">
        <f>0.9*9100*13*1.302</f>
        <v>138623.94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3" customFormat="1">
      <c r="A19" s="27" t="s">
        <v>10</v>
      </c>
      <c r="B19" s="12">
        <v>480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3" customFormat="1">
      <c r="A20" s="27" t="s">
        <v>11</v>
      </c>
      <c r="B20" s="12">
        <f>B19*130*1.302*1.5</f>
        <v>121867.20000000001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5" customFormat="1">
      <c r="A21" s="27" t="s">
        <v>53</v>
      </c>
      <c r="B21" s="12">
        <f>(12584.95+42457.22)*1.1</f>
        <v>60546.387000000002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s="3" customFormat="1">
      <c r="A22" s="27" t="s">
        <v>83</v>
      </c>
      <c r="B22" s="12">
        <f>8598.62*1.2</f>
        <v>10318.344000000001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3" customFormat="1">
      <c r="A23" s="42" t="s">
        <v>121</v>
      </c>
      <c r="B23" s="12">
        <f>B10-B12</f>
        <v>-18837.361000000034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</row>
    <row r="24" spans="1:252" s="5" customFormat="1">
      <c r="A24" s="62"/>
      <c r="B24" s="6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52" s="3" customFormat="1">
      <c r="A25" s="107" t="s">
        <v>12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s="5" customFormat="1"/>
    <row r="27" spans="1:252">
      <c r="A27" s="25"/>
    </row>
    <row r="28" spans="1:252">
      <c r="B28" s="24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14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"/>
  <sheetViews>
    <sheetView workbookViewId="0">
      <selection activeCell="A2" sqref="A2:XFD2"/>
    </sheetView>
  </sheetViews>
  <sheetFormatPr defaultRowHeight="15"/>
  <cols>
    <col min="1" max="1" width="89.85546875" customWidth="1"/>
    <col min="2" max="2" width="10.85546875" customWidth="1"/>
    <col min="3" max="3" width="9.5703125" bestFit="1" customWidth="1"/>
  </cols>
  <sheetData>
    <row r="1" spans="1:253" s="10" customFormat="1" ht="43.5" customHeight="1">
      <c r="A1" s="126" t="s">
        <v>175</v>
      </c>
      <c r="B1" s="126"/>
      <c r="IS1"/>
    </row>
    <row r="2" spans="1:253" s="111" customFormat="1" ht="43.5" customHeight="1">
      <c r="A2" s="8" t="s">
        <v>183</v>
      </c>
      <c r="B2" s="8" t="s">
        <v>184</v>
      </c>
      <c r="IM2" s="112"/>
    </row>
    <row r="3" spans="1:253">
      <c r="A3" s="18" t="s">
        <v>4</v>
      </c>
      <c r="B3" s="13">
        <v>2564.1999999999998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</row>
    <row r="4" spans="1:253">
      <c r="A4" s="18" t="s">
        <v>5</v>
      </c>
      <c r="B4" s="13">
        <v>19.16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3">
      <c r="A5" s="19" t="s">
        <v>77</v>
      </c>
      <c r="B5" s="11">
        <v>147213.9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3">
      <c r="A6" s="19" t="s">
        <v>38</v>
      </c>
      <c r="B6" s="11">
        <v>589522.66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3">
      <c r="A7" s="19" t="s">
        <v>52</v>
      </c>
      <c r="B7" s="11">
        <f>5323.37+926.66</f>
        <v>6250.03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3">
      <c r="A8" s="19" t="s">
        <v>130</v>
      </c>
      <c r="B8" s="11">
        <f>B5+B6+B7-B9</f>
        <v>601027.21000000008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3">
      <c r="A9" s="19" t="s">
        <v>131</v>
      </c>
      <c r="B9" s="11">
        <v>141959.38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3" ht="21" customHeight="1">
      <c r="A10" s="17" t="s">
        <v>65</v>
      </c>
      <c r="B10" s="13">
        <f>B8</f>
        <v>601027.21000000008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3">
      <c r="A11" s="10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3">
      <c r="A12" s="26" t="s">
        <v>99</v>
      </c>
      <c r="B12" s="15">
        <f>B14+B16+B17+B18+B20+B23+B21+B15+B24+B22</f>
        <v>683285.25298181828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3">
      <c r="A13" s="27" t="s">
        <v>7</v>
      </c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3" s="41" customFormat="1">
      <c r="A14" s="27" t="s">
        <v>3</v>
      </c>
      <c r="B14" s="12">
        <f>2.74*12*B3</f>
        <v>84310.895999999993</v>
      </c>
      <c r="C14" s="85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</row>
    <row r="15" spans="1:253" s="41" customFormat="1">
      <c r="A15" s="27" t="s">
        <v>17</v>
      </c>
      <c r="B15" s="12">
        <f>0.31*12*B3</f>
        <v>9538.8239999999987</v>
      </c>
      <c r="C15" s="85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</row>
    <row r="16" spans="1:253" s="41" customFormat="1">
      <c r="A16" s="27" t="s">
        <v>2</v>
      </c>
      <c r="B16" s="12">
        <f>3.73*12*B3*1.45</f>
        <v>166421.70839999997</v>
      </c>
      <c r="C16" s="85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</row>
    <row r="17" spans="1:252">
      <c r="A17" s="27" t="s">
        <v>96</v>
      </c>
      <c r="B17" s="12">
        <f>2300*12*1.45</f>
        <v>40020</v>
      </c>
      <c r="C17" s="8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s="41" customFormat="1">
      <c r="A18" s="27" t="s">
        <v>9</v>
      </c>
      <c r="B18" s="12">
        <f>132545.81*1.45/11*12</f>
        <v>209663.37218181818</v>
      </c>
      <c r="C18" s="85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</row>
    <row r="19" spans="1:252">
      <c r="A19" s="27" t="s">
        <v>10</v>
      </c>
      <c r="B19" s="12">
        <v>332</v>
      </c>
      <c r="C19" s="8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>
      <c r="A20" s="27" t="s">
        <v>11</v>
      </c>
      <c r="B20" s="12">
        <f>B19*120*1.302*1.45</f>
        <v>75213.936000000002</v>
      </c>
      <c r="C20" s="86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>
      <c r="A21" s="27" t="s">
        <v>53</v>
      </c>
      <c r="B21" s="12">
        <f>1933.26+19600.02</f>
        <v>21533.279999999999</v>
      </c>
      <c r="C21" s="8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</row>
    <row r="22" spans="1:252">
      <c r="A22" s="27" t="s">
        <v>174</v>
      </c>
      <c r="B22" s="12">
        <v>12000</v>
      </c>
      <c r="C22" s="86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</row>
    <row r="23" spans="1:252">
      <c r="A23" s="27" t="s">
        <v>83</v>
      </c>
      <c r="B23" s="12">
        <v>5627.15</v>
      </c>
      <c r="C23" s="8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</row>
    <row r="24" spans="1:252">
      <c r="A24" s="27" t="s">
        <v>186</v>
      </c>
      <c r="B24" s="12">
        <f>19.16*0.1*B3*12</f>
        <v>58956.0864</v>
      </c>
      <c r="C24" s="8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</row>
    <row r="25" spans="1:252" s="5" customFormat="1">
      <c r="A25" s="42" t="s">
        <v>124</v>
      </c>
      <c r="B25" s="12">
        <f>B10-B12</f>
        <v>-82258.042981818202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</row>
    <row r="26" spans="1:252" s="5" customFormat="1">
      <c r="A26" s="44"/>
      <c r="B26" s="4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</row>
    <row r="27" spans="1:252">
      <c r="A27" s="43" t="s">
        <v>12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workbookViewId="0">
      <selection activeCell="A2" sqref="A2:XFD2"/>
    </sheetView>
  </sheetViews>
  <sheetFormatPr defaultRowHeight="15"/>
  <cols>
    <col min="1" max="1" width="93.85546875" customWidth="1"/>
    <col min="2" max="2" width="12" customWidth="1"/>
  </cols>
  <sheetData>
    <row r="1" spans="1:253" s="10" customFormat="1" ht="43.5" customHeight="1">
      <c r="A1" s="126" t="s">
        <v>136</v>
      </c>
      <c r="B1" s="126"/>
      <c r="IS1"/>
    </row>
    <row r="2" spans="1:253" s="111" customFormat="1" ht="43.5" customHeight="1">
      <c r="A2" s="8" t="s">
        <v>183</v>
      </c>
      <c r="B2" s="8" t="s">
        <v>184</v>
      </c>
      <c r="IM2" s="112"/>
    </row>
    <row r="3" spans="1:253">
      <c r="A3" s="26" t="s">
        <v>4</v>
      </c>
      <c r="B3" s="13">
        <v>2514.5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</row>
    <row r="4" spans="1:253">
      <c r="A4" s="26" t="s">
        <v>5</v>
      </c>
      <c r="B4" s="13">
        <v>19.16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3">
      <c r="A5" s="27" t="s">
        <v>77</v>
      </c>
      <c r="B5" s="11">
        <v>159207.32999999999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</row>
    <row r="6" spans="1:253">
      <c r="A6" s="27" t="s">
        <v>38</v>
      </c>
      <c r="B6" s="11">
        <v>578133.48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3">
      <c r="A7" s="27" t="s">
        <v>81</v>
      </c>
      <c r="B7" s="11">
        <v>22612.14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3">
      <c r="A8" s="27" t="s">
        <v>130</v>
      </c>
      <c r="B8" s="11">
        <f>B5+B6+B7-B9</f>
        <v>521885.48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3">
      <c r="A9" s="27" t="s">
        <v>131</v>
      </c>
      <c r="B9" s="11">
        <v>238067.47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3" ht="18.75" customHeight="1">
      <c r="A10" s="82" t="s">
        <v>137</v>
      </c>
      <c r="B10" s="13">
        <f>B8</f>
        <v>521885.48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3">
      <c r="A11" s="14"/>
      <c r="B11" s="16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3">
      <c r="A12" s="26" t="s">
        <v>99</v>
      </c>
      <c r="B12" s="15">
        <f>B14+B16+B17+B18+B20+B22+B21+B15</f>
        <v>570485.29599999997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3">
      <c r="A13" s="27" t="s">
        <v>7</v>
      </c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3" s="41" customFormat="1">
      <c r="A14" s="27" t="s">
        <v>3</v>
      </c>
      <c r="B14" s="12">
        <f>2.74*12*B3*1.4</f>
        <v>115747.46400000001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</row>
    <row r="15" spans="1:253" s="41" customFormat="1">
      <c r="A15" s="27" t="s">
        <v>17</v>
      </c>
      <c r="B15" s="12">
        <f>0.31*12*B3*1.4</f>
        <v>13095.515999999998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</row>
    <row r="16" spans="1:253" s="41" customFormat="1">
      <c r="A16" s="27" t="s">
        <v>2</v>
      </c>
      <c r="B16" s="12">
        <f>3.44*12*B3</f>
        <v>103798.56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</row>
    <row r="17" spans="1:252">
      <c r="A17" s="27" t="s">
        <v>66</v>
      </c>
      <c r="B17" s="12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</row>
    <row r="18" spans="1:252" s="3" customFormat="1">
      <c r="A18" s="27" t="s">
        <v>9</v>
      </c>
      <c r="B18" s="12">
        <f>0.9*9100*13*1.302*1.4</f>
        <v>194073.516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>
      <c r="A19" s="27" t="s">
        <v>10</v>
      </c>
      <c r="B19" s="12">
        <v>438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>
      <c r="A20" s="27" t="s">
        <v>11</v>
      </c>
      <c r="B20" s="12">
        <f>B19*130*1.302*1.4</f>
        <v>103790.232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</row>
    <row r="21" spans="1:252" s="3" customFormat="1">
      <c r="A21" s="27" t="s">
        <v>132</v>
      </c>
      <c r="B21" s="12">
        <v>22612.14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3" customFormat="1">
      <c r="A22" s="27" t="s">
        <v>83</v>
      </c>
      <c r="B22" s="12">
        <f>12405.62*1.4</f>
        <v>17367.867999999999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5" customFormat="1">
      <c r="A23" s="42" t="s">
        <v>121</v>
      </c>
      <c r="B23" s="12">
        <f>B10-B12</f>
        <v>-48599.815999999992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52" s="5" customFormat="1">
      <c r="A24" s="62"/>
      <c r="B24" s="68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52">
      <c r="A25" s="127" t="s">
        <v>12</v>
      </c>
      <c r="B25" s="127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>
      <c r="A26" s="5"/>
      <c r="B26" s="5"/>
    </row>
  </sheetData>
  <mergeCells count="2">
    <mergeCell ref="A1:B1"/>
    <mergeCell ref="A25:B25"/>
  </mergeCells>
  <pageMargins left="0.70866141732283472" right="0.70866141732283472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1"/>
  <sheetViews>
    <sheetView workbookViewId="0">
      <selection activeCell="B10" sqref="B10"/>
    </sheetView>
  </sheetViews>
  <sheetFormatPr defaultRowHeight="15"/>
  <cols>
    <col min="1" max="1" width="92.140625" customWidth="1"/>
    <col min="2" max="2" width="11.42578125" customWidth="1"/>
    <col min="3" max="3" width="12.140625" customWidth="1"/>
  </cols>
  <sheetData>
    <row r="1" spans="1:249" s="14" customFormat="1" ht="40.5" customHeight="1">
      <c r="A1" s="126" t="s">
        <v>97</v>
      </c>
      <c r="B1" s="126"/>
      <c r="IO1" s="5"/>
    </row>
    <row r="2" spans="1:249" s="14" customFormat="1" ht="47.25" customHeight="1">
      <c r="A2" s="109" t="s">
        <v>183</v>
      </c>
      <c r="B2" s="106" t="s">
        <v>184</v>
      </c>
      <c r="IO2" s="5"/>
    </row>
    <row r="3" spans="1:249" s="5" customFormat="1">
      <c r="A3" s="80" t="s">
        <v>4</v>
      </c>
      <c r="B3" s="79">
        <v>846.9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</row>
    <row r="4" spans="1:249" s="5" customFormat="1">
      <c r="A4" s="26" t="s">
        <v>5</v>
      </c>
      <c r="B4" s="13">
        <v>17.829999999999998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</row>
    <row r="5" spans="1:249" s="3" customFormat="1">
      <c r="A5" s="27" t="s">
        <v>77</v>
      </c>
      <c r="B5" s="11">
        <v>77785.600000000006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</row>
    <row r="6" spans="1:249" s="3" customFormat="1">
      <c r="A6" s="27" t="s">
        <v>38</v>
      </c>
      <c r="B6" s="11">
        <v>181203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</row>
    <row r="7" spans="1:249" s="3" customFormat="1">
      <c r="A7" s="27" t="s">
        <v>6</v>
      </c>
      <c r="B7" s="11">
        <v>2751.36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</row>
    <row r="8" spans="1:249" s="5" customFormat="1">
      <c r="A8" s="27" t="s">
        <v>15</v>
      </c>
      <c r="B8" s="11">
        <v>193115.68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</row>
    <row r="9" spans="1:249" s="5" customFormat="1">
      <c r="A9" s="27" t="s">
        <v>100</v>
      </c>
      <c r="B9" s="11">
        <f>B5+B6+B7-B8</f>
        <v>68624.28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</row>
    <row r="10" spans="1:249" s="5" customFormat="1" ht="18.75" customHeight="1">
      <c r="A10" s="82" t="s">
        <v>98</v>
      </c>
      <c r="B10" s="13">
        <f>B8</f>
        <v>193115.68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</row>
    <row r="11" spans="1:249" s="5" customFormat="1">
      <c r="A11" s="14"/>
      <c r="B11" s="8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9" s="5" customFormat="1">
      <c r="A12" s="26" t="s">
        <v>99</v>
      </c>
      <c r="B12" s="15">
        <f>B14+B15+B16+B17+B19+B21+B23+B22+B18</f>
        <v>183863.51700000002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9" s="5" customFormat="1">
      <c r="A13" s="27" t="s">
        <v>7</v>
      </c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</row>
    <row r="14" spans="1:249" s="3" customFormat="1">
      <c r="A14" s="27" t="s">
        <v>3</v>
      </c>
      <c r="B14" s="12">
        <f>2.74*B3*12</f>
        <v>27846.072000000004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49" s="5" customFormat="1">
      <c r="A15" s="27" t="s">
        <v>2</v>
      </c>
      <c r="B15" s="12">
        <f>17642.62*1.5+3000*1.302*1.5</f>
        <v>32322.93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</row>
    <row r="16" spans="1:249" s="3" customFormat="1">
      <c r="A16" s="27" t="s">
        <v>17</v>
      </c>
      <c r="B16" s="12">
        <f>0.31*B3*12</f>
        <v>3150.4679999999998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s="3" customFormat="1">
      <c r="A17" s="27" t="s">
        <v>171</v>
      </c>
      <c r="B17" s="12">
        <f>87168-73149.62-3045</f>
        <v>10973.380000000005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248" s="3" customFormat="1">
      <c r="A18" s="27" t="s">
        <v>172</v>
      </c>
      <c r="B18" s="12">
        <f>13893.03-10973.38</f>
        <v>2919.6500000000015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s="5" customFormat="1">
      <c r="A19" s="27" t="s">
        <v>13</v>
      </c>
      <c r="B19" s="12">
        <f>0.02*9100*12*1.302*1.5</f>
        <v>4265.3520000000008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</row>
    <row r="20" spans="1:248" s="5" customFormat="1">
      <c r="A20" s="27" t="s">
        <v>10</v>
      </c>
      <c r="B20" s="12">
        <v>340.5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</row>
    <row r="21" spans="1:248" s="5" customFormat="1">
      <c r="A21" s="27" t="s">
        <v>11</v>
      </c>
      <c r="B21" s="12">
        <f>B20*110*1.302*1.5</f>
        <v>73149.615000000005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</row>
    <row r="22" spans="1:248" s="3" customFormat="1">
      <c r="A22" s="27" t="s">
        <v>39</v>
      </c>
      <c r="B22" s="12">
        <f>17460.7*1.5</f>
        <v>26191.050000000003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s="3" customFormat="1">
      <c r="A23" s="27" t="s">
        <v>83</v>
      </c>
      <c r="B23" s="12">
        <f>2030*1.5</f>
        <v>3045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48" s="5" customFormat="1">
      <c r="A24" s="27" t="s">
        <v>87</v>
      </c>
      <c r="B24" s="12">
        <v>77549.03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</row>
    <row r="25" spans="1:248" s="3" customFormat="1">
      <c r="A25" s="27" t="s">
        <v>40</v>
      </c>
      <c r="B25" s="12">
        <f>B10-B12-B24</f>
        <v>-68296.867000000027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s="3" customForma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248" s="3" customFormat="1">
      <c r="A27" s="87" t="s">
        <v>12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</row>
    <row r="28" spans="1:248" s="5" customFormat="1"/>
    <row r="29" spans="1:248" s="5" customFormat="1"/>
    <row r="30" spans="1:248" s="5" customFormat="1"/>
    <row r="31" spans="1:248" s="5" customFormat="1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51" fitToHeight="3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27"/>
  <sheetViews>
    <sheetView workbookViewId="0">
      <selection activeCell="B13" sqref="B13"/>
    </sheetView>
  </sheetViews>
  <sheetFormatPr defaultRowHeight="15"/>
  <cols>
    <col min="1" max="1" width="71.7109375" customWidth="1"/>
    <col min="2" max="2" width="12.85546875" customWidth="1"/>
  </cols>
  <sheetData>
    <row r="1" spans="1:253" s="10" customFormat="1" ht="43.5" customHeight="1">
      <c r="A1" s="126" t="s">
        <v>139</v>
      </c>
      <c r="B1" s="126"/>
      <c r="C1" s="14"/>
      <c r="IS1"/>
    </row>
    <row r="2" spans="1:253" s="111" customFormat="1" ht="43.5" customHeight="1">
      <c r="A2" s="8" t="s">
        <v>183</v>
      </c>
      <c r="B2" s="8" t="s">
        <v>184</v>
      </c>
      <c r="IM2" s="112"/>
    </row>
    <row r="3" spans="1:253">
      <c r="A3" s="26" t="s">
        <v>4</v>
      </c>
      <c r="B3" s="13">
        <v>5120.2</v>
      </c>
      <c r="C3" s="1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</row>
    <row r="4" spans="1:253">
      <c r="A4" s="26" t="s">
        <v>5</v>
      </c>
      <c r="B4" s="13">
        <v>19.16</v>
      </c>
      <c r="C4" s="14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253" s="3" customFormat="1">
      <c r="A5" s="27" t="s">
        <v>77</v>
      </c>
      <c r="B5" s="11">
        <v>367995.12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pans="1:253">
      <c r="A6" s="27" t="s">
        <v>38</v>
      </c>
      <c r="B6" s="11">
        <v>1177235.6399999999</v>
      </c>
      <c r="C6" s="1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</row>
    <row r="7" spans="1:253">
      <c r="A7" s="27" t="s">
        <v>52</v>
      </c>
      <c r="B7" s="11">
        <f>15852.9+12801</f>
        <v>28653.9</v>
      </c>
      <c r="C7" s="1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</row>
    <row r="8" spans="1:253">
      <c r="A8" s="27" t="s">
        <v>130</v>
      </c>
      <c r="B8" s="11">
        <f>B5+B6+B7-B9</f>
        <v>1234281.2299999997</v>
      </c>
      <c r="C8" s="14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</row>
    <row r="9" spans="1:253">
      <c r="A9" s="27" t="s">
        <v>131</v>
      </c>
      <c r="B9" s="11">
        <v>339603.43</v>
      </c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</row>
    <row r="10" spans="1:253" ht="29.25" customHeight="1">
      <c r="A10" s="82" t="s">
        <v>65</v>
      </c>
      <c r="B10" s="13">
        <f>B6+B7</f>
        <v>1205889.5399999998</v>
      </c>
      <c r="C10" s="14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</row>
    <row r="11" spans="1:253">
      <c r="A11" s="14"/>
      <c r="B11" s="16"/>
      <c r="C11" s="1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</row>
    <row r="12" spans="1:253">
      <c r="A12" s="26" t="s">
        <v>89</v>
      </c>
      <c r="B12" s="15">
        <f>B14+B16+B17+B19+B22+B20+B15+B21</f>
        <v>1264809.4879999999</v>
      </c>
      <c r="C12" s="14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</row>
    <row r="13" spans="1:253">
      <c r="A13" s="27" t="s">
        <v>7</v>
      </c>
      <c r="B13" s="11"/>
      <c r="C13" s="1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</row>
    <row r="14" spans="1:253" s="3" customFormat="1">
      <c r="A14" s="27" t="s">
        <v>3</v>
      </c>
      <c r="B14" s="12">
        <f>2.74*12*B3*1.3</f>
        <v>218857.82880000002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3" s="3" customFormat="1">
      <c r="A15" s="27" t="s">
        <v>17</v>
      </c>
      <c r="B15" s="12">
        <f>0.31*12*B3*1.3</f>
        <v>24761.287199999995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3" s="3" customFormat="1">
      <c r="A16" s="27" t="s">
        <v>2</v>
      </c>
      <c r="B16" s="12">
        <f>3.44*12*B3</f>
        <v>211361.856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3" customFormat="1">
      <c r="A17" s="27" t="s">
        <v>9</v>
      </c>
      <c r="B17" s="12">
        <f>1.8*9100*13*1.302*1.3</f>
        <v>360422.24400000001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>
      <c r="A18" s="27" t="s">
        <v>10</v>
      </c>
      <c r="B18" s="12">
        <v>1190</v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</row>
    <row r="19" spans="1:252">
      <c r="A19" s="27" t="s">
        <v>11</v>
      </c>
      <c r="B19" s="12">
        <f>B18*130*1.302*1.5</f>
        <v>302129.09999999998</v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</row>
    <row r="20" spans="1:252" s="3" customFormat="1">
      <c r="A20" s="27" t="s">
        <v>53</v>
      </c>
      <c r="B20" s="12">
        <f>(15852.9+69936.12)*1.1</f>
        <v>94367.921999999991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3" customFormat="1">
      <c r="A21" s="27" t="s">
        <v>181</v>
      </c>
      <c r="B21" s="12">
        <f>2300*12*1.1</f>
        <v>30360.000000000004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3" customFormat="1">
      <c r="A22" s="27" t="s">
        <v>83</v>
      </c>
      <c r="B22" s="12">
        <v>22549.25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5" customFormat="1">
      <c r="A23" s="42" t="s">
        <v>124</v>
      </c>
      <c r="B23" s="12">
        <f>B10-B12</f>
        <v>-58919.948000000091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</row>
    <row r="24" spans="1:252" s="5" customFormat="1">
      <c r="A24" s="44"/>
      <c r="B24" s="4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</row>
    <row r="25" spans="1:252">
      <c r="A25" s="105" t="s">
        <v>12</v>
      </c>
      <c r="B25" s="20"/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</row>
    <row r="26" spans="1:252">
      <c r="A26" s="5"/>
      <c r="B26" s="5"/>
      <c r="C26" s="5"/>
    </row>
    <row r="27" spans="1:252">
      <c r="A27" s="5"/>
      <c r="B27" s="5"/>
      <c r="C27" s="5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>
      <selection activeCell="J11" sqref="J10:J11"/>
    </sheetView>
  </sheetViews>
  <sheetFormatPr defaultRowHeight="15"/>
  <cols>
    <col min="1" max="1" width="5.140625" customWidth="1"/>
    <col min="2" max="2" width="20.85546875" customWidth="1"/>
    <col min="3" max="3" width="6.5703125" customWidth="1"/>
    <col min="4" max="4" width="17.7109375" customWidth="1"/>
    <col min="5" max="5" width="18.28515625" customWidth="1"/>
    <col min="6" max="6" width="18.85546875" style="3" customWidth="1"/>
  </cols>
  <sheetData>
    <row r="1" spans="1:6" ht="15.75">
      <c r="A1" s="132" t="s">
        <v>193</v>
      </c>
      <c r="B1" s="132"/>
      <c r="C1" s="132"/>
      <c r="D1" s="132"/>
      <c r="E1" s="132"/>
      <c r="F1" s="132"/>
    </row>
    <row r="2" spans="1:6" ht="15.75">
      <c r="A2" s="47"/>
      <c r="B2" s="47"/>
      <c r="C2" s="47"/>
      <c r="D2" s="47"/>
      <c r="E2" s="47"/>
      <c r="F2" s="76"/>
    </row>
    <row r="3" spans="1:6" s="46" customFormat="1" ht="31.5">
      <c r="A3" s="60" t="s">
        <v>70</v>
      </c>
      <c r="B3" s="61" t="s">
        <v>71</v>
      </c>
      <c r="C3" s="60" t="s">
        <v>18</v>
      </c>
      <c r="D3" s="60" t="s">
        <v>188</v>
      </c>
      <c r="E3" s="60" t="s">
        <v>189</v>
      </c>
      <c r="F3" s="77" t="s">
        <v>187</v>
      </c>
    </row>
    <row r="4" spans="1:6" s="3" customFormat="1" ht="15.75">
      <c r="A4" s="72">
        <v>1</v>
      </c>
      <c r="B4" s="73" t="s">
        <v>72</v>
      </c>
      <c r="C4" s="72" t="s">
        <v>19</v>
      </c>
      <c r="D4" s="74">
        <f>'вокзальная 9а'!B10</f>
        <v>316879.092</v>
      </c>
      <c r="E4" s="74">
        <f>'вокзальная 9а'!B12</f>
        <v>352689.98</v>
      </c>
      <c r="F4" s="75">
        <f>D4-E4</f>
        <v>-35810.887999999977</v>
      </c>
    </row>
    <row r="5" spans="1:6" s="3" customFormat="1" ht="15.75">
      <c r="A5" s="72">
        <v>2</v>
      </c>
      <c r="B5" s="73" t="s">
        <v>72</v>
      </c>
      <c r="C5" s="72" t="s">
        <v>20</v>
      </c>
      <c r="D5" s="74">
        <f>'вокзальная 11а'!B10</f>
        <v>267207.17</v>
      </c>
      <c r="E5" s="74">
        <f>'вокзальная 11а'!B12</f>
        <v>275446.16560000001</v>
      </c>
      <c r="F5" s="75">
        <f t="shared" ref="F5:F31" si="0">D5-E5</f>
        <v>-8238.9956000000238</v>
      </c>
    </row>
    <row r="6" spans="1:6" ht="15.75">
      <c r="A6" s="48">
        <v>3</v>
      </c>
      <c r="B6" s="49" t="s">
        <v>72</v>
      </c>
      <c r="C6" s="48" t="s">
        <v>21</v>
      </c>
      <c r="D6" s="50">
        <f>'вокзальная 17а'!C12</f>
        <v>95911.37</v>
      </c>
      <c r="E6" s="50">
        <f>'вокзальная 17а'!C14</f>
        <v>125888.482</v>
      </c>
      <c r="F6" s="75">
        <f t="shared" si="0"/>
        <v>-29977.112000000008</v>
      </c>
    </row>
    <row r="7" spans="1:6" ht="15.75">
      <c r="A7" s="48">
        <v>4</v>
      </c>
      <c r="B7" s="49" t="s">
        <v>22</v>
      </c>
      <c r="C7" s="48">
        <v>1</v>
      </c>
      <c r="D7" s="74">
        <f>'Гагарина 1'!C10</f>
        <v>218614.15000000002</v>
      </c>
      <c r="E7" s="74">
        <f>'Гагарина 1'!C12</f>
        <v>241900.47719999996</v>
      </c>
      <c r="F7" s="75">
        <f t="shared" si="0"/>
        <v>-23286.327199999942</v>
      </c>
    </row>
    <row r="8" spans="1:6" ht="15.75">
      <c r="A8" s="48">
        <v>5</v>
      </c>
      <c r="B8" s="49" t="s">
        <v>22</v>
      </c>
      <c r="C8" s="48" t="s">
        <v>23</v>
      </c>
      <c r="D8" s="74">
        <f>'Гагарина 2а'!B9</f>
        <v>149888.74</v>
      </c>
      <c r="E8" s="74">
        <f>'Гагарина 2а'!B11</f>
        <v>143477.7556</v>
      </c>
      <c r="F8" s="75">
        <f t="shared" si="0"/>
        <v>6410.9843999999866</v>
      </c>
    </row>
    <row r="9" spans="1:6" ht="15.75">
      <c r="A9" s="48">
        <v>6</v>
      </c>
      <c r="B9" s="49" t="s">
        <v>22</v>
      </c>
      <c r="C9" s="48" t="s">
        <v>25</v>
      </c>
      <c r="D9" s="50">
        <f>'Гагарина 5а'!B10</f>
        <v>153403.24</v>
      </c>
      <c r="E9" s="50">
        <f>'Гагарина 5а'!B12</f>
        <v>140164.323</v>
      </c>
      <c r="F9" s="75">
        <f t="shared" si="0"/>
        <v>13238.916999999987</v>
      </c>
    </row>
    <row r="10" spans="1:6" ht="15.75">
      <c r="A10" s="120">
        <v>7</v>
      </c>
      <c r="B10" s="52" t="s">
        <v>26</v>
      </c>
      <c r="C10" s="53" t="s">
        <v>27</v>
      </c>
      <c r="D10" s="51">
        <f>'М.Горького 3б'!B10</f>
        <v>193115.68</v>
      </c>
      <c r="E10" s="51">
        <f>'М.Горького 3б'!B12</f>
        <v>183863.51700000002</v>
      </c>
      <c r="F10" s="75">
        <f t="shared" si="0"/>
        <v>9252.1629999999714</v>
      </c>
    </row>
    <row r="11" spans="1:6" ht="15.75">
      <c r="A11" s="120">
        <v>8</v>
      </c>
      <c r="B11" s="52" t="s">
        <v>26</v>
      </c>
      <c r="C11" s="53" t="s">
        <v>28</v>
      </c>
      <c r="D11" s="51">
        <f>'М.Горького 4а'!B11</f>
        <v>181046.7</v>
      </c>
      <c r="E11" s="51">
        <f>'М.Горького 4а'!B13</f>
        <v>203100.875</v>
      </c>
      <c r="F11" s="75">
        <f t="shared" si="0"/>
        <v>-22054.174999999988</v>
      </c>
    </row>
    <row r="12" spans="1:6" ht="15.75">
      <c r="A12" s="120">
        <v>9</v>
      </c>
      <c r="B12" s="54" t="s">
        <v>73</v>
      </c>
      <c r="C12" s="55" t="s">
        <v>37</v>
      </c>
      <c r="D12" s="51">
        <f>'Кирова 19а'!C8</f>
        <v>42250.62</v>
      </c>
      <c r="E12" s="51">
        <f>'Кирова 19а'!C10</f>
        <v>40131.44008</v>
      </c>
      <c r="F12" s="75">
        <f t="shared" si="0"/>
        <v>2119.1799200000023</v>
      </c>
    </row>
    <row r="13" spans="1:6" ht="15.75">
      <c r="A13" s="120">
        <v>10</v>
      </c>
      <c r="B13" s="54" t="s">
        <v>74</v>
      </c>
      <c r="C13" s="55" t="s">
        <v>23</v>
      </c>
      <c r="D13" s="51">
        <f>'Лесная 2а'!B10</f>
        <v>559030.69000000006</v>
      </c>
      <c r="E13" s="51">
        <f>'Лесная 2а'!B12</f>
        <v>672325.15191999997</v>
      </c>
      <c r="F13" s="75">
        <f t="shared" si="0"/>
        <v>-113294.46191999991</v>
      </c>
    </row>
    <row r="14" spans="1:6" ht="15.75">
      <c r="A14" s="120">
        <v>11</v>
      </c>
      <c r="B14" s="54" t="s">
        <v>74</v>
      </c>
      <c r="C14" s="55" t="s">
        <v>24</v>
      </c>
      <c r="D14" s="51">
        <f>'Лесная 3а'!B11</f>
        <v>580091.87000000011</v>
      </c>
      <c r="E14" s="51">
        <f>'Лесная 3а'!B13</f>
        <v>617400.49191999994</v>
      </c>
      <c r="F14" s="75">
        <f t="shared" si="0"/>
        <v>-37308.62191999983</v>
      </c>
    </row>
    <row r="15" spans="1:6" ht="15.75">
      <c r="A15" s="120">
        <v>12</v>
      </c>
      <c r="B15" s="54" t="s">
        <v>75</v>
      </c>
      <c r="C15" s="53">
        <v>4</v>
      </c>
      <c r="D15" s="51">
        <f>'Пионерская 4 '!B12</f>
        <v>33412.420000000006</v>
      </c>
      <c r="E15" s="51">
        <f>'Пионерская 4 '!B14</f>
        <v>36121.995439999999</v>
      </c>
      <c r="F15" s="75">
        <f t="shared" si="0"/>
        <v>-2709.5754399999933</v>
      </c>
    </row>
    <row r="16" spans="1:6" ht="15.75">
      <c r="A16" s="120">
        <v>13</v>
      </c>
      <c r="B16" s="54" t="s">
        <v>75</v>
      </c>
      <c r="C16" s="53">
        <v>6</v>
      </c>
      <c r="D16" s="51">
        <f>'Пионерская 6'!C10</f>
        <v>128561.13</v>
      </c>
      <c r="E16" s="51">
        <f>'Пионерская 6'!C12</f>
        <v>159134.00440000001</v>
      </c>
      <c r="F16" s="75">
        <f t="shared" si="0"/>
        <v>-30572.874400000001</v>
      </c>
    </row>
    <row r="17" spans="1:6" ht="15.75">
      <c r="A17" s="120">
        <v>14</v>
      </c>
      <c r="B17" s="54" t="s">
        <v>75</v>
      </c>
      <c r="C17" s="53">
        <v>14</v>
      </c>
      <c r="D17" s="51">
        <f>'Пионерская 14'!B10</f>
        <v>214335.52000000005</v>
      </c>
      <c r="E17" s="51">
        <f>'Пионерская 14'!B12</f>
        <v>290594.14876000001</v>
      </c>
      <c r="F17" s="75">
        <f t="shared" si="0"/>
        <v>-76258.628759999963</v>
      </c>
    </row>
    <row r="18" spans="1:6" ht="15.75">
      <c r="A18" s="120">
        <v>15</v>
      </c>
      <c r="B18" s="54" t="s">
        <v>75</v>
      </c>
      <c r="C18" s="53">
        <v>16</v>
      </c>
      <c r="D18" s="51">
        <f>'Пионерская 16'!B10</f>
        <v>228876.58000000002</v>
      </c>
      <c r="E18" s="51">
        <f>'Пионерская 16'!B12</f>
        <v>311210.70290000003</v>
      </c>
      <c r="F18" s="75">
        <f t="shared" si="0"/>
        <v>-82334.122900000017</v>
      </c>
    </row>
    <row r="19" spans="1:6" ht="15.75">
      <c r="A19" s="120">
        <v>16</v>
      </c>
      <c r="B19" s="54" t="s">
        <v>75</v>
      </c>
      <c r="C19" s="53">
        <v>18</v>
      </c>
      <c r="D19" s="51">
        <f>'Пионерская 18'!B10</f>
        <v>267477.38</v>
      </c>
      <c r="E19" s="51">
        <f>'Пионерская 18'!B12</f>
        <v>264767.43169999996</v>
      </c>
      <c r="F19" s="75">
        <f t="shared" si="0"/>
        <v>2709.9483000000473</v>
      </c>
    </row>
    <row r="20" spans="1:6" ht="15.75">
      <c r="A20" s="120">
        <v>17</v>
      </c>
      <c r="B20" s="54" t="s">
        <v>75</v>
      </c>
      <c r="C20" s="53">
        <v>20</v>
      </c>
      <c r="D20" s="51">
        <f>'Пионерская 20'!B12</f>
        <v>197148.01</v>
      </c>
      <c r="E20" s="51">
        <f>'Пионерская 20'!B14</f>
        <v>279082.96049999999</v>
      </c>
      <c r="F20" s="75">
        <f t="shared" si="0"/>
        <v>-81934.950499999977</v>
      </c>
    </row>
    <row r="21" spans="1:6" ht="15.75">
      <c r="A21" s="120">
        <v>18</v>
      </c>
      <c r="B21" s="54" t="s">
        <v>75</v>
      </c>
      <c r="C21" s="53" t="s">
        <v>29</v>
      </c>
      <c r="D21" s="51">
        <f>'Пионерская 24а'!C12</f>
        <v>253026.68999999997</v>
      </c>
      <c r="E21" s="51">
        <f>'Пионерская 24а'!C14</f>
        <v>438673.21039999998</v>
      </c>
      <c r="F21" s="75">
        <f t="shared" si="0"/>
        <v>-185646.52040000001</v>
      </c>
    </row>
    <row r="22" spans="1:6" ht="15.75">
      <c r="A22" s="120">
        <v>19</v>
      </c>
      <c r="B22" s="54" t="s">
        <v>192</v>
      </c>
      <c r="C22" s="53">
        <v>2</v>
      </c>
      <c r="D22" s="51">
        <f>'Пионерская 2а'!B10</f>
        <v>81496.570000000007</v>
      </c>
      <c r="E22" s="51">
        <f>'Пионерская 2а'!B12</f>
        <v>80923.169400000013</v>
      </c>
      <c r="F22" s="75">
        <f t="shared" si="0"/>
        <v>573.40059999999357</v>
      </c>
    </row>
    <row r="23" spans="1:6" ht="15.75">
      <c r="A23" s="120">
        <v>20</v>
      </c>
      <c r="B23" s="54" t="s">
        <v>30</v>
      </c>
      <c r="C23" s="53" t="s">
        <v>23</v>
      </c>
      <c r="D23" s="51">
        <f>'Пушкина 2а'!B10</f>
        <v>1205889.5399999998</v>
      </c>
      <c r="E23" s="51">
        <f>'Пушкина 2а'!B12</f>
        <v>1264809.4879999999</v>
      </c>
      <c r="F23" s="75">
        <f t="shared" si="0"/>
        <v>-58919.948000000091</v>
      </c>
    </row>
    <row r="24" spans="1:6" ht="15.75">
      <c r="A24" s="120">
        <v>21</v>
      </c>
      <c r="B24" s="54" t="s">
        <v>30</v>
      </c>
      <c r="C24" s="53" t="s">
        <v>24</v>
      </c>
      <c r="D24" s="51">
        <f>'Пушкина 3а'!B10</f>
        <v>521885.48</v>
      </c>
      <c r="E24" s="51">
        <f>'Пушкина 3а'!B12</f>
        <v>570485.29599999997</v>
      </c>
      <c r="F24" s="75">
        <f t="shared" si="0"/>
        <v>-48599.815999999992</v>
      </c>
    </row>
    <row r="25" spans="1:6" ht="15.75">
      <c r="A25" s="120">
        <v>22</v>
      </c>
      <c r="B25" s="54" t="s">
        <v>30</v>
      </c>
      <c r="C25" s="53" t="s">
        <v>28</v>
      </c>
      <c r="D25" s="51">
        <f>'Пушкина 4а'!B10</f>
        <v>601027.21000000008</v>
      </c>
      <c r="E25" s="51">
        <f>'Пушкина 4а'!B12</f>
        <v>683285.25298181828</v>
      </c>
      <c r="F25" s="75">
        <f t="shared" si="0"/>
        <v>-82258.042981818202</v>
      </c>
    </row>
    <row r="26" spans="1:6" ht="15.75">
      <c r="A26" s="120">
        <v>23</v>
      </c>
      <c r="B26" s="54" t="s">
        <v>30</v>
      </c>
      <c r="C26" s="53" t="s">
        <v>25</v>
      </c>
      <c r="D26" s="51">
        <f>'Пушкина 5а'!B10</f>
        <v>595280.81000000006</v>
      </c>
      <c r="E26" s="51">
        <f>'Пушкина 5а'!B12</f>
        <v>614118.17100000009</v>
      </c>
      <c r="F26" s="75">
        <f t="shared" si="0"/>
        <v>-18837.361000000034</v>
      </c>
    </row>
    <row r="27" spans="1:6" ht="15.75">
      <c r="A27" s="120">
        <v>24</v>
      </c>
      <c r="B27" s="54" t="s">
        <v>30</v>
      </c>
      <c r="C27" s="53" t="s">
        <v>31</v>
      </c>
      <c r="D27" s="51">
        <f>'Пушкина 6а'!B11</f>
        <v>768793.7100000002</v>
      </c>
      <c r="E27" s="51">
        <f>'Пушкина 6а'!B13</f>
        <v>1004313.94543</v>
      </c>
      <c r="F27" s="75">
        <f t="shared" si="0"/>
        <v>-235520.23542999977</v>
      </c>
    </row>
    <row r="28" spans="1:6" ht="15.75">
      <c r="A28" s="120">
        <v>25</v>
      </c>
      <c r="B28" s="54" t="s">
        <v>30</v>
      </c>
      <c r="C28" s="53" t="s">
        <v>32</v>
      </c>
      <c r="D28" s="51">
        <f>'Пушкина 7а'!B11</f>
        <v>758062.65</v>
      </c>
      <c r="E28" s="51">
        <f>'Пушкина 7а'!B13</f>
        <v>973973.72799999989</v>
      </c>
      <c r="F28" s="75">
        <f t="shared" si="0"/>
        <v>-215911.07799999986</v>
      </c>
    </row>
    <row r="29" spans="1:6" ht="15.75">
      <c r="A29" s="120">
        <v>26</v>
      </c>
      <c r="B29" s="54" t="s">
        <v>30</v>
      </c>
      <c r="C29" s="53" t="s">
        <v>20</v>
      </c>
      <c r="D29" s="51">
        <f>'Пушкина 11а'!B10</f>
        <v>786040.87000000011</v>
      </c>
      <c r="E29" s="51">
        <f>'Пушкина 11а'!B12</f>
        <v>838482.35400000005</v>
      </c>
      <c r="F29" s="75">
        <f t="shared" si="0"/>
        <v>-52441.483999999939</v>
      </c>
    </row>
    <row r="30" spans="1:6" ht="15.75">
      <c r="A30" s="120">
        <v>27</v>
      </c>
      <c r="B30" s="54" t="s">
        <v>30</v>
      </c>
      <c r="C30" s="53" t="s">
        <v>33</v>
      </c>
      <c r="D30" s="51">
        <f>'Пушкина 30а'!B10</f>
        <v>497583.39</v>
      </c>
      <c r="E30" s="51">
        <f>'Пушкина 30а'!B12</f>
        <v>569675.88000000012</v>
      </c>
      <c r="F30" s="75">
        <f t="shared" si="0"/>
        <v>-72092.490000000107</v>
      </c>
    </row>
    <row r="31" spans="1:6" ht="15.75">
      <c r="A31" s="120">
        <v>28</v>
      </c>
      <c r="B31" s="54" t="s">
        <v>34</v>
      </c>
      <c r="C31" s="53" t="s">
        <v>35</v>
      </c>
      <c r="D31" s="51">
        <f>'Строительная 28а'!B12</f>
        <v>502291.31</v>
      </c>
      <c r="E31" s="51">
        <f>'Строительная 28а'!B14</f>
        <v>626450.82121999993</v>
      </c>
      <c r="F31" s="75">
        <f t="shared" si="0"/>
        <v>-124159.51121999993</v>
      </c>
    </row>
    <row r="32" spans="1:6" s="46" customFormat="1" ht="15.75">
      <c r="A32" s="56"/>
      <c r="B32" s="57" t="s">
        <v>36</v>
      </c>
      <c r="C32" s="58"/>
      <c r="D32" s="59">
        <f t="shared" ref="D32:F32" si="1">SUM(D4:D31)</f>
        <v>10398628.591999998</v>
      </c>
      <c r="E32" s="59">
        <f t="shared" si="1"/>
        <v>12002491.219451819</v>
      </c>
      <c r="F32" s="78">
        <f t="shared" si="1"/>
        <v>-1603862.6274518173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27"/>
  <sheetViews>
    <sheetView workbookViewId="0">
      <selection activeCell="D6" sqref="D6"/>
    </sheetView>
  </sheetViews>
  <sheetFormatPr defaultRowHeight="15"/>
  <cols>
    <col min="1" max="1" width="72.42578125" customWidth="1"/>
    <col min="2" max="2" width="13.28515625" customWidth="1"/>
    <col min="4" max="4" width="13.140625" customWidth="1"/>
  </cols>
  <sheetData>
    <row r="1" spans="1:252" s="5" customFormat="1"/>
    <row r="2" spans="1:252" s="14" customFormat="1" ht="40.5" customHeight="1">
      <c r="A2" s="64" t="s">
        <v>76</v>
      </c>
      <c r="B2" s="20"/>
      <c r="IR2" s="5"/>
    </row>
    <row r="3" spans="1:252" s="14" customFormat="1" ht="46.5" customHeight="1">
      <c r="A3" s="109" t="s">
        <v>182</v>
      </c>
      <c r="B3" s="106" t="s">
        <v>184</v>
      </c>
      <c r="IR3" s="5"/>
    </row>
    <row r="4" spans="1:252" s="5" customFormat="1">
      <c r="A4" s="80" t="s">
        <v>4</v>
      </c>
      <c r="B4" s="13">
        <v>899.7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2" s="5" customFormat="1">
      <c r="A5" s="26" t="s">
        <v>5</v>
      </c>
      <c r="B5" s="13">
        <v>17.829999999999998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2" s="5" customFormat="1">
      <c r="A6" s="27" t="s">
        <v>106</v>
      </c>
      <c r="B6" s="11">
        <v>50774.05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2" s="5" customFormat="1">
      <c r="A7" s="27" t="s">
        <v>38</v>
      </c>
      <c r="B7" s="11">
        <v>192500.16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2" s="5" customFormat="1">
      <c r="A8" s="27" t="s">
        <v>6</v>
      </c>
      <c r="B8" s="11">
        <v>1326.48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2" s="5" customFormat="1">
      <c r="A9" s="27" t="s">
        <v>15</v>
      </c>
      <c r="B9" s="11">
        <v>181046.7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2" s="5" customFormat="1">
      <c r="A10" s="27" t="s">
        <v>100</v>
      </c>
      <c r="B10" s="11">
        <v>63332.91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2" s="5" customFormat="1" ht="29.25" customHeight="1">
      <c r="A11" s="82" t="s">
        <v>104</v>
      </c>
      <c r="B11" s="13">
        <f>B9</f>
        <v>181046.7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2" s="5" customFormat="1">
      <c r="A12" s="14"/>
      <c r="B12" s="1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2" s="5" customFormat="1">
      <c r="A13" s="26" t="s">
        <v>99</v>
      </c>
      <c r="B13" s="15">
        <f>B15+B16+B17+B18+B19+B21+B23+B22</f>
        <v>203100.875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2" s="5" customFormat="1">
      <c r="A14" s="27" t="s">
        <v>7</v>
      </c>
      <c r="B14" s="11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2" s="5" customFormat="1">
      <c r="A15" s="27" t="s">
        <v>3</v>
      </c>
      <c r="B15" s="12">
        <f>6153.95+29582.14</f>
        <v>35736.089999999997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2" s="5" customFormat="1">
      <c r="A16" s="27" t="s">
        <v>2</v>
      </c>
      <c r="B16" s="12">
        <v>34332.550000000003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s="5" customFormat="1">
      <c r="A17" s="27" t="s">
        <v>17</v>
      </c>
      <c r="B17" s="12">
        <v>3346.88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s="5" customFormat="1">
      <c r="A18" s="27" t="s">
        <v>8</v>
      </c>
      <c r="B18" s="12">
        <v>7720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s="3" customFormat="1">
      <c r="A19" s="27" t="s">
        <v>13</v>
      </c>
      <c r="B19" s="12">
        <v>4534.49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</row>
    <row r="20" spans="1:251" s="3" customFormat="1">
      <c r="A20" s="27" t="s">
        <v>10</v>
      </c>
      <c r="B20" s="12">
        <v>261.5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</row>
    <row r="21" spans="1:251" s="3" customFormat="1">
      <c r="A21" s="27" t="s">
        <v>11</v>
      </c>
      <c r="B21" s="12">
        <f>B20*316.25</f>
        <v>82699.375</v>
      </c>
      <c r="C21" s="20"/>
      <c r="D21" s="36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</row>
    <row r="22" spans="1:251" s="3" customFormat="1">
      <c r="A22" s="27" t="s">
        <v>39</v>
      </c>
      <c r="B22" s="12">
        <v>31667.94</v>
      </c>
      <c r="C22" s="20"/>
      <c r="D22" s="36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</row>
    <row r="23" spans="1:251" s="5" customFormat="1">
      <c r="A23" s="27" t="s">
        <v>83</v>
      </c>
      <c r="B23" s="12">
        <f>2188.25*1.4</f>
        <v>3063.5499999999997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51" s="5" customFormat="1">
      <c r="A24" s="27" t="s">
        <v>105</v>
      </c>
      <c r="B24" s="12">
        <f>B11-B13</f>
        <v>-22054.174999999988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1:251" s="5" customFormat="1">
      <c r="A25" s="20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s="5" customFormat="1">
      <c r="A26" s="89" t="s">
        <v>12</v>
      </c>
      <c r="B26" s="2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</row>
    <row r="27" spans="1:251" s="5" customFormat="1"/>
  </sheetData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29"/>
  <sheetViews>
    <sheetView workbookViewId="0">
      <selection activeCell="A3" sqref="A3:XFD3"/>
    </sheetView>
  </sheetViews>
  <sheetFormatPr defaultRowHeight="15"/>
  <cols>
    <col min="1" max="1" width="84.28515625" customWidth="1"/>
    <col min="2" max="2" width="12.42578125" customWidth="1"/>
  </cols>
  <sheetData>
    <row r="1" spans="1:253" s="5" customFormat="1"/>
    <row r="2" spans="1:253" s="14" customFormat="1" ht="43.5" customHeight="1">
      <c r="A2" s="126" t="s">
        <v>157</v>
      </c>
      <c r="B2" s="126"/>
      <c r="IS2" s="5"/>
    </row>
    <row r="3" spans="1:253" s="111" customFormat="1" ht="43.5" customHeight="1">
      <c r="A3" s="8" t="s">
        <v>183</v>
      </c>
      <c r="B3" s="8" t="s">
        <v>184</v>
      </c>
      <c r="IS3" s="112"/>
    </row>
    <row r="4" spans="1:253" s="5" customFormat="1">
      <c r="A4" s="26" t="s">
        <v>4</v>
      </c>
      <c r="B4" s="13">
        <v>2596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3" s="5" customFormat="1">
      <c r="A5" s="26" t="s">
        <v>5</v>
      </c>
      <c r="B5" s="13">
        <v>19.16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3" s="3" customFormat="1">
      <c r="A6" s="27" t="s">
        <v>77</v>
      </c>
      <c r="B6" s="11">
        <v>140145.07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pans="1:253" s="3" customFormat="1">
      <c r="A7" s="27" t="s">
        <v>38</v>
      </c>
      <c r="B7" s="11">
        <v>596872.80000000005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3" s="3" customFormat="1">
      <c r="A8" s="27" t="s">
        <v>52</v>
      </c>
      <c r="B8" s="11">
        <f>5283.12+10876.8-161.28</f>
        <v>15998.639999999998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3" s="3" customFormat="1">
      <c r="A9" s="27" t="s">
        <v>158</v>
      </c>
      <c r="B9" s="11">
        <f>B6+B7+B8-B10</f>
        <v>580091.87000000011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3" s="3" customFormat="1">
      <c r="A10" s="27" t="s">
        <v>131</v>
      </c>
      <c r="B10" s="11">
        <v>172924.64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3" s="3" customFormat="1" ht="16.5" customHeight="1">
      <c r="A11" s="82" t="s">
        <v>65</v>
      </c>
      <c r="B11" s="13">
        <f>B9</f>
        <v>580091.87000000011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</row>
    <row r="12" spans="1:253" s="5" customFormat="1">
      <c r="A12" s="14"/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3" s="3" customFormat="1">
      <c r="A13" s="26" t="s">
        <v>89</v>
      </c>
      <c r="B13" s="15">
        <f>B15+B17+B18+B19+B21+B23+B22+B16+B24</f>
        <v>617400.49191999994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</row>
    <row r="14" spans="1:253" s="3" customFormat="1">
      <c r="A14" s="27" t="s">
        <v>7</v>
      </c>
      <c r="B14" s="1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3" s="3" customFormat="1">
      <c r="A15" s="27" t="s">
        <v>3</v>
      </c>
      <c r="B15" s="12">
        <f>2.74*12*B4</f>
        <v>85356.48000000001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3" s="3" customFormat="1">
      <c r="A16" s="27" t="s">
        <v>17</v>
      </c>
      <c r="B16" s="12">
        <f>0.31*12*B4</f>
        <v>9657.119999999999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3" customFormat="1">
      <c r="A17" s="27" t="s">
        <v>2</v>
      </c>
      <c r="B17" s="12">
        <f>3.44*12*B4</f>
        <v>107162.88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3" customFormat="1">
      <c r="A18" s="27" t="s">
        <v>8</v>
      </c>
      <c r="B18" s="12">
        <f>0.2*B4*12*1.5</f>
        <v>9345.6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3" customFormat="1">
      <c r="A19" s="27" t="s">
        <v>9</v>
      </c>
      <c r="B19" s="12">
        <f>0.9*9100*12*1.302*1.13*1.4</f>
        <v>202433.60591999997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5" customFormat="1">
      <c r="A20" s="27" t="s">
        <v>10</v>
      </c>
      <c r="B20" s="12">
        <v>490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</row>
    <row r="21" spans="1:252" s="5" customFormat="1">
      <c r="A21" s="27" t="s">
        <v>11</v>
      </c>
      <c r="B21" s="12">
        <f>B20*130*1.302*1.4</f>
        <v>116112.36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</row>
    <row r="22" spans="1:252" s="3" customFormat="1">
      <c r="A22" s="27" t="s">
        <v>53</v>
      </c>
      <c r="B22" s="12">
        <f>5283.12+40352.88</f>
        <v>45636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3" customFormat="1">
      <c r="A23" s="27" t="s">
        <v>83</v>
      </c>
      <c r="B23" s="12">
        <f>10068.89*1.4</f>
        <v>14096.445999999998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3" customFormat="1">
      <c r="A24" s="27" t="s">
        <v>91</v>
      </c>
      <c r="B24" s="12">
        <f>2300*12</f>
        <v>27600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s="3" customFormat="1">
      <c r="A25" s="27" t="s">
        <v>90</v>
      </c>
      <c r="B25" s="12">
        <v>434303.26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s="3" customFormat="1">
      <c r="A26" s="42" t="s">
        <v>150</v>
      </c>
      <c r="B26" s="12">
        <f>B11-B13-B25</f>
        <v>-471611.88191999984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</row>
    <row r="27" spans="1:252" s="3" customFormat="1">
      <c r="A27" s="44"/>
      <c r="B27" s="4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</row>
    <row r="28" spans="1:252" s="84" customFormat="1">
      <c r="A28" s="83" t="s">
        <v>12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  <c r="IR28" s="83"/>
    </row>
    <row r="29" spans="1:252" s="5" customFormat="1"/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0"/>
  <sheetViews>
    <sheetView workbookViewId="0">
      <selection activeCell="A2" sqref="A2:XFD2"/>
    </sheetView>
  </sheetViews>
  <sheetFormatPr defaultRowHeight="15"/>
  <cols>
    <col min="1" max="1" width="107.7109375" customWidth="1"/>
    <col min="2" max="2" width="12.5703125" customWidth="1"/>
  </cols>
  <sheetData>
    <row r="1" spans="1:254" s="14" customFormat="1" ht="43.5" customHeight="1">
      <c r="A1" s="126" t="s">
        <v>159</v>
      </c>
      <c r="B1" s="126"/>
      <c r="IT1" s="5"/>
    </row>
    <row r="2" spans="1:254" s="111" customFormat="1" ht="43.5" customHeight="1">
      <c r="A2" s="8" t="s">
        <v>183</v>
      </c>
      <c r="B2" s="8" t="s">
        <v>184</v>
      </c>
      <c r="IS2" s="112"/>
    </row>
    <row r="3" spans="1:254" s="3" customFormat="1">
      <c r="A3" s="13" t="s">
        <v>4</v>
      </c>
      <c r="B3" s="13">
        <v>2582.5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</row>
    <row r="4" spans="1:254" s="3" customFormat="1">
      <c r="A4" s="13" t="s">
        <v>5</v>
      </c>
      <c r="B4" s="13">
        <v>19.16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</row>
    <row r="5" spans="1:254" s="3" customFormat="1">
      <c r="A5" s="11" t="s">
        <v>77</v>
      </c>
      <c r="B5" s="11">
        <v>113810.43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</row>
    <row r="6" spans="1:254" s="3" customFormat="1">
      <c r="A6" s="11" t="s">
        <v>78</v>
      </c>
      <c r="B6" s="11">
        <v>593769.6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</row>
    <row r="7" spans="1:254" s="3" customFormat="1">
      <c r="A7" s="11" t="s">
        <v>55</v>
      </c>
      <c r="B7" s="11">
        <f>13856.19+10877.1</f>
        <v>24733.29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spans="1:254" s="3" customFormat="1">
      <c r="A8" s="11" t="s">
        <v>57</v>
      </c>
      <c r="B8" s="11">
        <f>B5+B6+B7-B9</f>
        <v>559030.69000000006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spans="1:254" s="3" customFormat="1">
      <c r="A9" s="11" t="s">
        <v>142</v>
      </c>
      <c r="B9" s="11">
        <v>173282.63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</row>
    <row r="10" spans="1:254" s="3" customFormat="1" ht="15" customHeight="1">
      <c r="A10" s="22" t="s">
        <v>94</v>
      </c>
      <c r="B10" s="13">
        <f>B8</f>
        <v>559030.69000000006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</row>
    <row r="11" spans="1:254" s="5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4" s="3" customFormat="1">
      <c r="A12" s="13" t="s">
        <v>95</v>
      </c>
      <c r="B12" s="15">
        <f>B14+B16+B17+B18+B20+B21+B24+B23</f>
        <v>672325.15191999997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</row>
    <row r="13" spans="1:254" s="3" customFormat="1">
      <c r="A13" s="11" t="s">
        <v>7</v>
      </c>
      <c r="B13" s="1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</row>
    <row r="14" spans="1:254" s="3" customFormat="1">
      <c r="A14" s="11" t="s">
        <v>3</v>
      </c>
      <c r="B14" s="12">
        <f>2.74*12*B3*1.2</f>
        <v>101895.12000000001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</row>
    <row r="15" spans="1:254" s="3" customFormat="1">
      <c r="A15" s="11" t="s">
        <v>17</v>
      </c>
      <c r="B15" s="12">
        <f>0.31*B3*12*1.5</f>
        <v>14410.350000000002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</row>
    <row r="16" spans="1:254" s="3" customFormat="1">
      <c r="A16" s="11" t="s">
        <v>2</v>
      </c>
      <c r="B16" s="12">
        <f>3.44*12*B3*1.4</f>
        <v>149247.84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3" customFormat="1">
      <c r="A17" s="11" t="s">
        <v>8</v>
      </c>
      <c r="B17" s="12">
        <f>0.2*B3*12*1.5</f>
        <v>9297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</row>
    <row r="18" spans="1:253" s="3" customFormat="1">
      <c r="A18" s="11" t="s">
        <v>9</v>
      </c>
      <c r="B18" s="12">
        <f>0.9*9100*12*1.302*1.4*1.13</f>
        <v>202433.60591999997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</row>
    <row r="19" spans="1:253" s="3" customFormat="1">
      <c r="A19" s="11" t="s">
        <v>10</v>
      </c>
      <c r="B19" s="12">
        <v>510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</row>
    <row r="20" spans="1:253" s="3" customFormat="1">
      <c r="A20" s="11" t="s">
        <v>11</v>
      </c>
      <c r="B20" s="12">
        <f>B19*130*1.302*1.4</f>
        <v>120851.64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</row>
    <row r="21" spans="1:253" s="3" customFormat="1">
      <c r="A21" s="11" t="s">
        <v>58</v>
      </c>
      <c r="B21" s="12">
        <f>13856.19+59350.2</f>
        <v>73206.39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</row>
    <row r="22" spans="1:253" s="3" customFormat="1">
      <c r="A22" s="11" t="s">
        <v>93</v>
      </c>
      <c r="B22" s="12">
        <f>2300*12</f>
        <v>27600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3" customFormat="1">
      <c r="A23" s="11" t="s">
        <v>92</v>
      </c>
      <c r="B23" s="12">
        <v>7000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s="3" customFormat="1">
      <c r="A24" s="11" t="s">
        <v>83</v>
      </c>
      <c r="B24" s="12">
        <f>6994.63*1.2</f>
        <v>8393.5560000000005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s="3" customFormat="1">
      <c r="A25" s="11" t="s">
        <v>59</v>
      </c>
      <c r="B25" s="12">
        <v>346304.54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3" customFormat="1">
      <c r="A26" s="11" t="s">
        <v>54</v>
      </c>
      <c r="B26" s="12">
        <f>B10-B12-B25</f>
        <v>-459599.00191999989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5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3" customFormat="1">
      <c r="A28" s="81" t="s">
        <v>12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s="5" customFormat="1"/>
    <row r="30" spans="1:253" s="5" customFormat="1"/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12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29"/>
  <sheetViews>
    <sheetView workbookViewId="0">
      <selection activeCell="A18" sqref="A18"/>
    </sheetView>
  </sheetViews>
  <sheetFormatPr defaultRowHeight="15"/>
  <cols>
    <col min="1" max="1" width="80.5703125" customWidth="1"/>
    <col min="2" max="2" width="0.140625" customWidth="1"/>
    <col min="3" max="3" width="16" customWidth="1"/>
  </cols>
  <sheetData>
    <row r="1" spans="1:253" s="9" customFormat="1"/>
    <row r="2" spans="1:253" s="20" customFormat="1" ht="43.5" customHeight="1">
      <c r="A2" s="64" t="s">
        <v>148</v>
      </c>
      <c r="IQ2" s="3"/>
    </row>
    <row r="3" spans="1:253" s="111" customFormat="1" ht="43.5" customHeight="1">
      <c r="A3" s="8" t="s">
        <v>183</v>
      </c>
      <c r="B3" s="8" t="s">
        <v>184</v>
      </c>
      <c r="C3" s="34" t="s">
        <v>184</v>
      </c>
      <c r="IS3" s="112"/>
    </row>
    <row r="4" spans="1:253" s="3" customFormat="1">
      <c r="A4" s="13" t="s">
        <v>14</v>
      </c>
      <c r="B4" s="20"/>
      <c r="C4" s="13">
        <v>782.2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</row>
    <row r="5" spans="1:253" s="3" customFormat="1">
      <c r="A5" s="13" t="s">
        <v>5</v>
      </c>
      <c r="B5" s="20"/>
      <c r="C5" s="13">
        <v>27.8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</row>
    <row r="6" spans="1:253" s="3" customFormat="1">
      <c r="A6" s="11" t="s">
        <v>77</v>
      </c>
      <c r="B6" s="20"/>
      <c r="C6" s="11">
        <v>61311.34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</row>
    <row r="7" spans="1:253" s="3" customFormat="1">
      <c r="A7" s="11" t="s">
        <v>78</v>
      </c>
      <c r="B7" s="20"/>
      <c r="C7" s="11">
        <v>260808.48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</row>
    <row r="8" spans="1:253" s="3" customFormat="1">
      <c r="A8" s="11" t="s">
        <v>81</v>
      </c>
      <c r="B8" s="20"/>
      <c r="C8" s="11">
        <v>6698.1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</row>
    <row r="9" spans="1:253" s="3" customFormat="1">
      <c r="A9" s="11" t="s">
        <v>149</v>
      </c>
      <c r="B9" s="20"/>
      <c r="C9" s="11">
        <v>80366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</row>
    <row r="10" spans="1:253" s="3" customFormat="1">
      <c r="A10" s="11" t="s">
        <v>57</v>
      </c>
      <c r="B10" s="20"/>
      <c r="C10" s="11">
        <f>C6+C7+C8-C11+C9</f>
        <v>253026.68999999997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</row>
    <row r="11" spans="1:253" s="3" customFormat="1">
      <c r="A11" s="11" t="s">
        <v>142</v>
      </c>
      <c r="B11" s="20"/>
      <c r="C11" s="11">
        <v>156157.23000000001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</row>
    <row r="12" spans="1:253" s="3" customFormat="1" ht="22.5" customHeight="1">
      <c r="A12" s="22" t="s">
        <v>190</v>
      </c>
      <c r="B12" s="36"/>
      <c r="C12" s="13">
        <f>C10</f>
        <v>253026.68999999997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</row>
    <row r="13" spans="1:253" s="9" customForma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</row>
    <row r="14" spans="1:253" s="3" customFormat="1">
      <c r="A14" s="13" t="s">
        <v>80</v>
      </c>
      <c r="B14" s="20"/>
      <c r="C14" s="15">
        <f>C16+C19+C20+C21+C23+C24+C25+C17</f>
        <v>438673.21039999998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</row>
    <row r="15" spans="1:253" s="3" customFormat="1">
      <c r="A15" s="11" t="s">
        <v>7</v>
      </c>
      <c r="B15" s="20"/>
      <c r="C15" s="1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</row>
    <row r="16" spans="1:253" s="3" customFormat="1">
      <c r="A16" s="11" t="s">
        <v>3</v>
      </c>
      <c r="B16" s="20"/>
      <c r="C16" s="12">
        <f>2.74*C4*12</f>
        <v>25718.736000000001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</row>
    <row r="17" spans="1:250" s="9" customFormat="1">
      <c r="A17" s="11" t="s">
        <v>191</v>
      </c>
      <c r="B17" s="28"/>
      <c r="C17" s="12">
        <f>300*408*1.06*1.2+42*500*1.06*1.2</f>
        <v>182404.8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</row>
    <row r="18" spans="1:250" s="3" customFormat="1">
      <c r="A18" s="11" t="s">
        <v>17</v>
      </c>
      <c r="B18" s="20"/>
      <c r="C18" s="12">
        <f>0.31*C4*6</f>
        <v>1454.8920000000001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</row>
    <row r="19" spans="1:250" s="3" customFormat="1">
      <c r="A19" s="11" t="s">
        <v>2</v>
      </c>
      <c r="B19" s="20"/>
      <c r="C19" s="12">
        <f>3.44*12*C4</f>
        <v>32289.216000000004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</row>
    <row r="20" spans="1:250" s="3" customFormat="1">
      <c r="A20" s="11" t="s">
        <v>8</v>
      </c>
      <c r="B20" s="20"/>
      <c r="C20" s="12">
        <f>120*62</f>
        <v>7440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</row>
    <row r="21" spans="1:250" s="3" customFormat="1">
      <c r="A21" s="11" t="s">
        <v>84</v>
      </c>
      <c r="B21" s="20"/>
      <c r="C21" s="12">
        <f>0.02*9100*13*1.302*1.2</f>
        <v>3696.6383999999998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</row>
    <row r="22" spans="1:250" s="3" customFormat="1">
      <c r="A22" s="11" t="s">
        <v>10</v>
      </c>
      <c r="B22" s="20"/>
      <c r="C22" s="12">
        <v>197.5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3" customFormat="1">
      <c r="A23" s="11" t="s">
        <v>11</v>
      </c>
      <c r="B23" s="20"/>
      <c r="C23" s="12">
        <f>C22*130*1.302*1.2</f>
        <v>40114.619999999995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3" customFormat="1">
      <c r="A24" s="11" t="s">
        <v>82</v>
      </c>
      <c r="B24" s="20"/>
      <c r="C24" s="12">
        <f>C8</f>
        <v>6698.1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3" customFormat="1">
      <c r="A25" s="11" t="s">
        <v>83</v>
      </c>
      <c r="B25" s="20"/>
      <c r="C25" s="12">
        <v>140311.1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3" customFormat="1">
      <c r="A26" s="11" t="s">
        <v>150</v>
      </c>
      <c r="B26" s="20"/>
      <c r="C26" s="12">
        <f>C12-C14</f>
        <v>-185646.52040000001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9" customForma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</row>
    <row r="28" spans="1:250" s="9" customFormat="1">
      <c r="A28" s="107" t="s">
        <v>12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</row>
    <row r="29" spans="1:250" s="9" customFormat="1"/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31"/>
  <sheetViews>
    <sheetView workbookViewId="0">
      <selection activeCell="A3" sqref="A3:XFD3"/>
    </sheetView>
  </sheetViews>
  <sheetFormatPr defaultRowHeight="15"/>
  <cols>
    <col min="1" max="1" width="79.140625" customWidth="1"/>
    <col min="2" max="2" width="10.28515625" customWidth="1"/>
  </cols>
  <sheetData>
    <row r="1" spans="1:253" s="5" customFormat="1">
      <c r="A1" s="7"/>
    </row>
    <row r="2" spans="1:253" s="14" customFormat="1" ht="43.5" customHeight="1">
      <c r="A2" s="126" t="s">
        <v>151</v>
      </c>
      <c r="B2" s="126"/>
      <c r="IS2" s="5"/>
    </row>
    <row r="3" spans="1:253" s="111" customFormat="1" ht="43.5" customHeight="1">
      <c r="A3" s="8" t="s">
        <v>183</v>
      </c>
      <c r="B3" s="8" t="s">
        <v>184</v>
      </c>
      <c r="IR3" s="112"/>
    </row>
    <row r="4" spans="1:253" s="5" customFormat="1">
      <c r="A4" s="13" t="s">
        <v>14</v>
      </c>
      <c r="B4" s="13">
        <v>736.8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3" s="5" customFormat="1">
      <c r="A5" s="13" t="s">
        <v>5</v>
      </c>
      <c r="B5" s="13">
        <v>30.24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3" s="5" customFormat="1">
      <c r="A6" s="11" t="s">
        <v>77</v>
      </c>
      <c r="B6" s="11">
        <v>127547.21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3" s="5" customFormat="1">
      <c r="A7" s="11" t="s">
        <v>152</v>
      </c>
      <c r="B7" s="11">
        <v>267370.08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</row>
    <row r="8" spans="1:253" s="5" customFormat="1">
      <c r="A8" s="11" t="s">
        <v>60</v>
      </c>
      <c r="B8" s="11">
        <v>1751.1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</row>
    <row r="9" spans="1:253" s="5" customFormat="1">
      <c r="A9" s="11" t="s">
        <v>88</v>
      </c>
      <c r="B9" s="11">
        <v>9265.65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</row>
    <row r="10" spans="1:253" s="5" customFormat="1">
      <c r="A10" s="11" t="s">
        <v>57</v>
      </c>
      <c r="B10" s="11">
        <f>B6+B7+B8-B11+B9</f>
        <v>197148.01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</row>
    <row r="11" spans="1:253" s="5" customFormat="1">
      <c r="A11" s="11" t="s">
        <v>56</v>
      </c>
      <c r="B11" s="11">
        <v>208786.03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3" s="5" customFormat="1" ht="22.5" customHeight="1">
      <c r="A12" s="22" t="s">
        <v>94</v>
      </c>
      <c r="B12" s="13">
        <f>B10</f>
        <v>197148.01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3" s="5" customForma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3" s="3" customFormat="1">
      <c r="A14" s="13" t="s">
        <v>95</v>
      </c>
      <c r="B14" s="15">
        <f>B16+B19+B20+B21+B23+B24+B25+B17+B18</f>
        <v>279082.96049999999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</row>
    <row r="15" spans="1:253" s="3" customFormat="1">
      <c r="A15" s="11" t="s">
        <v>7</v>
      </c>
      <c r="B15" s="1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3" s="3" customFormat="1">
      <c r="A16" s="11" t="s">
        <v>3</v>
      </c>
      <c r="B16" s="12">
        <f>2.74*12*B4</f>
        <v>24225.984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3" customFormat="1">
      <c r="A17" s="11" t="s">
        <v>45</v>
      </c>
      <c r="B17" s="12">
        <f>369*300*1.06*1.2+35*500*1.06*1.2</f>
        <v>163070.39999999999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3" customFormat="1">
      <c r="A18" s="11" t="s">
        <v>17</v>
      </c>
      <c r="B18" s="12">
        <f>0.31*B4*12*1.25</f>
        <v>3426.12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3" customFormat="1">
      <c r="A19" s="11" t="s">
        <v>2</v>
      </c>
      <c r="B19" s="12">
        <f>3.44*12*B4</f>
        <v>30415.103999999999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3" customFormat="1">
      <c r="A20" s="11" t="s">
        <v>8</v>
      </c>
      <c r="B20" s="12">
        <f>49*100*1.25</f>
        <v>6125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3" customFormat="1">
      <c r="A21" s="11" t="s">
        <v>13</v>
      </c>
      <c r="B21" s="12">
        <f>0.02*9100*13*1.302*1.25</f>
        <v>3850.665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3" customFormat="1">
      <c r="A22" s="11" t="s">
        <v>10</v>
      </c>
      <c r="B22" s="12">
        <v>162.5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3" customFormat="1">
      <c r="A23" s="11" t="s">
        <v>11</v>
      </c>
      <c r="B23" s="12">
        <f>B22*130*1.302*1.25</f>
        <v>34380.9375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3" customFormat="1">
      <c r="A24" s="11" t="s">
        <v>58</v>
      </c>
      <c r="B24" s="12">
        <f>9265.65+1751.1</f>
        <v>11016.75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s="3" customFormat="1">
      <c r="A25" s="11" t="s">
        <v>83</v>
      </c>
      <c r="B25" s="12">
        <v>2572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</row>
    <row r="26" spans="1:252" s="3" customFormat="1">
      <c r="A26" s="11" t="s">
        <v>150</v>
      </c>
      <c r="B26" s="12">
        <f>B12-B14</f>
        <v>-81934.950499999977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</row>
    <row r="27" spans="1:252" s="5" customForma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</row>
    <row r="28" spans="1:252" s="5" customFormat="1">
      <c r="A28" s="10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</row>
    <row r="29" spans="1:252" s="5" customFormat="1"/>
    <row r="30" spans="1:252" s="5" customFormat="1"/>
    <row r="31" spans="1:252" s="5" customFormat="1"/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0" fitToWidth="2" fitToHeight="2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6"/>
  <sheetViews>
    <sheetView workbookViewId="0">
      <selection activeCell="A2" sqref="A2:XFD2"/>
    </sheetView>
  </sheetViews>
  <sheetFormatPr defaultRowHeight="15"/>
  <cols>
    <col min="1" max="1" width="82.85546875" customWidth="1"/>
    <col min="2" max="2" width="13.5703125" customWidth="1"/>
  </cols>
  <sheetData>
    <row r="1" spans="1:253" s="14" customFormat="1" ht="43.5" customHeight="1">
      <c r="A1" s="126" t="s">
        <v>153</v>
      </c>
      <c r="B1" s="126"/>
      <c r="IS1" s="5"/>
    </row>
    <row r="2" spans="1:253" s="111" customFormat="1" ht="43.5" customHeight="1">
      <c r="A2" s="8" t="s">
        <v>183</v>
      </c>
      <c r="B2" s="8" t="s">
        <v>184</v>
      </c>
      <c r="IR2" s="112"/>
    </row>
    <row r="3" spans="1:253" s="5" customFormat="1">
      <c r="A3" s="13" t="s">
        <v>14</v>
      </c>
      <c r="B3" s="13">
        <v>738.6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253" s="5" customFormat="1">
      <c r="A4" s="13" t="s">
        <v>5</v>
      </c>
      <c r="B4" s="13">
        <v>30.24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3" s="5" customFormat="1">
      <c r="A5" s="11" t="s">
        <v>77</v>
      </c>
      <c r="B5" s="11">
        <v>10051.31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</row>
    <row r="6" spans="1:253" s="5" customFormat="1">
      <c r="A6" s="11" t="s">
        <v>78</v>
      </c>
      <c r="B6" s="11">
        <v>268023.24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</row>
    <row r="7" spans="1:253" s="3" customFormat="1">
      <c r="A7" s="11" t="s">
        <v>146</v>
      </c>
      <c r="B7" s="11">
        <v>1840.08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spans="1:253" s="3" customFormat="1">
      <c r="A8" s="11" t="s">
        <v>57</v>
      </c>
      <c r="B8" s="11">
        <f>B5+B6+B7-B9</f>
        <v>267477.38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</row>
    <row r="9" spans="1:253" s="3" customFormat="1">
      <c r="A9" s="11" t="s">
        <v>142</v>
      </c>
      <c r="B9" s="11">
        <v>12437.25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</row>
    <row r="10" spans="1:253" s="3" customFormat="1" ht="22.5" customHeight="1">
      <c r="A10" s="22" t="s">
        <v>94</v>
      </c>
      <c r="B10" s="13">
        <f>B8</f>
        <v>267477.38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</row>
    <row r="11" spans="1:253" s="5" customForma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</row>
    <row r="12" spans="1:253" s="5" customFormat="1">
      <c r="A12" s="13" t="s">
        <v>95</v>
      </c>
      <c r="B12" s="15">
        <f>B14+B17+B18+B19+B21+B22+B23+B15+B16</f>
        <v>264767.43169999996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</row>
    <row r="13" spans="1:253" s="5" customFormat="1">
      <c r="A13" s="11" t="s">
        <v>7</v>
      </c>
      <c r="B13" s="11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</row>
    <row r="14" spans="1:253" s="5" customFormat="1">
      <c r="A14" s="11" t="s">
        <v>3</v>
      </c>
      <c r="B14" s="12">
        <f>2.74*12*B3*1.25</f>
        <v>30356.460000000003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</row>
    <row r="15" spans="1:253" s="3" customFormat="1">
      <c r="A15" s="11" t="s">
        <v>45</v>
      </c>
      <c r="B15" s="12">
        <f>330*300*1.06*1.3+34*500*1.06*1.3</f>
        <v>159848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3" s="5" customFormat="1">
      <c r="A16" s="11" t="s">
        <v>17</v>
      </c>
      <c r="B16" s="12">
        <f>0.31*B3*12*1.3</f>
        <v>3571.8696000000004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</row>
    <row r="17" spans="1:252" s="3" customFormat="1">
      <c r="A17" s="11" t="s">
        <v>2</v>
      </c>
      <c r="B17" s="12">
        <f>3.44*12*B3</f>
        <v>30489.408000000003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3" customFormat="1">
      <c r="A18" s="11" t="s">
        <v>8</v>
      </c>
      <c r="B18" s="12">
        <f>100*23*1.3</f>
        <v>2990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3" customFormat="1">
      <c r="A19" s="11" t="s">
        <v>63</v>
      </c>
      <c r="B19" s="12">
        <f>0.02*9100*13*1.302*1.3</f>
        <v>4004.6916000000006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s="3" customFormat="1">
      <c r="A20" s="11" t="s">
        <v>10</v>
      </c>
      <c r="B20" s="12">
        <v>90.5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</row>
    <row r="21" spans="1:252" s="3" customFormat="1">
      <c r="A21" s="11" t="s">
        <v>11</v>
      </c>
      <c r="B21" s="12">
        <f>B20*130*1.302*1.3</f>
        <v>19913.439000000002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</row>
    <row r="22" spans="1:252" s="3" customFormat="1">
      <c r="A22" s="11" t="s">
        <v>147</v>
      </c>
      <c r="B22" s="12">
        <f>11349.19*1.15</f>
        <v>13051.568499999999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</row>
    <row r="23" spans="1:252" s="3" customFormat="1">
      <c r="A23" s="11" t="s">
        <v>83</v>
      </c>
      <c r="B23" s="12">
        <f>361.33*1.5</f>
        <v>541.995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</row>
    <row r="24" spans="1:252" s="3" customFormat="1">
      <c r="A24" s="11" t="s">
        <v>64</v>
      </c>
      <c r="B24" s="12">
        <f>B10-B12</f>
        <v>2709.9483000000473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</row>
    <row r="25" spans="1:252" s="5" customForma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</row>
    <row r="26" spans="1:252" s="5" customFormat="1">
      <c r="A26" s="127" t="s">
        <v>12</v>
      </c>
      <c r="B26" s="12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</row>
  </sheetData>
  <mergeCells count="2">
    <mergeCell ref="A1:B1"/>
    <mergeCell ref="A26:B26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Кирова 19а</vt:lpstr>
      <vt:lpstr>Строительная 28а</vt:lpstr>
      <vt:lpstr>М.Горького 3б</vt:lpstr>
      <vt:lpstr>М.Горького 4а</vt:lpstr>
      <vt:lpstr>Лесная 3а</vt:lpstr>
      <vt:lpstr>Лесная 2а</vt:lpstr>
      <vt:lpstr>Пионерская 24а</vt:lpstr>
      <vt:lpstr>Пионерская 20</vt:lpstr>
      <vt:lpstr>Пионерская 18</vt:lpstr>
      <vt:lpstr>Пионерская 16</vt:lpstr>
      <vt:lpstr>Пионерская 14</vt:lpstr>
      <vt:lpstr>Пионерская 6</vt:lpstr>
      <vt:lpstr>Пионерская 4 </vt:lpstr>
      <vt:lpstr>Пионерская 2а</vt:lpstr>
      <vt:lpstr>Гагарина 5а</vt:lpstr>
      <vt:lpstr>Гагарина 3</vt:lpstr>
      <vt:lpstr>Гагарина 2а</vt:lpstr>
      <vt:lpstr>Гагарина 1</vt:lpstr>
      <vt:lpstr>вокзальная 17а</vt:lpstr>
      <vt:lpstr>вокзальная 11а</vt:lpstr>
      <vt:lpstr>вокзальная 9б</vt:lpstr>
      <vt:lpstr>вокзальная 9а</vt:lpstr>
      <vt:lpstr>Пушкина 30а</vt:lpstr>
      <vt:lpstr>Пушкина 11а</vt:lpstr>
      <vt:lpstr>Пушкина 7а</vt:lpstr>
      <vt:lpstr>Пушкина 6а</vt:lpstr>
      <vt:lpstr>Пушкина 5а</vt:lpstr>
      <vt:lpstr>Пушкина 4а</vt:lpstr>
      <vt:lpstr>Пушкина 3а</vt:lpstr>
      <vt:lpstr>Пушкина 2а</vt:lpstr>
      <vt:lpstr>сводный 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2015-06-22T09:25:57Z</dcterms:modified>
</cp:coreProperties>
</file>